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98D6AF2C-7CF7-4E47-951C-07AEBD77AB54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4_NU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SPS4_NUC_High!$A$1:$K$2232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30" i="1" a="1"/>
  <c r="I2230" i="1" s="1"/>
  <c r="I2229" i="1" a="1"/>
  <c r="I2229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/>
  <c r="F2041" i="1" a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H925" i="1" s="1"/>
  <c r="H924" i="1" s="1"/>
  <c r="G896" i="1" a="1"/>
  <c r="G896" i="1" s="1"/>
  <c r="G925" i="1" s="1"/>
  <c r="G924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/>
  <c r="I607" i="1" a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I382" i="1" s="1"/>
  <c r="I513" i="1" s="1"/>
  <c r="H284" i="1" a="1"/>
  <c r="H284" i="1" s="1"/>
  <c r="H283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I323" i="1" s="1"/>
  <c r="I478" i="1" s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F318" i="1" s="1"/>
  <c r="F473" i="1" s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F399" i="1" s="1"/>
  <c r="F519" i="1" s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I386" i="1" s="1"/>
  <c r="I517" i="1" s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362" i="1" s="1"/>
  <c r="I429" i="1" s="1"/>
  <c r="H134" i="1"/>
  <c r="G134" i="1"/>
  <c r="F134" i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121" i="1"/>
  <c r="I117" i="1"/>
  <c r="I97" i="1"/>
  <c r="H97" i="1"/>
  <c r="H129" i="1" s="1"/>
  <c r="G97" i="1"/>
  <c r="G129" i="1" s="1"/>
  <c r="F97" i="1"/>
  <c r="F129" i="1" s="1"/>
  <c r="I96" i="1"/>
  <c r="I128" i="1" s="1"/>
  <c r="H96" i="1"/>
  <c r="G96" i="1"/>
  <c r="F96" i="1"/>
  <c r="I95" i="1"/>
  <c r="H95" i="1"/>
  <c r="G95" i="1"/>
  <c r="F95" i="1"/>
  <c r="I94" i="1"/>
  <c r="I126" i="1" s="1"/>
  <c r="H94" i="1"/>
  <c r="G94" i="1"/>
  <c r="G126" i="1" s="1"/>
  <c r="F94" i="1"/>
  <c r="F126" i="1" s="1"/>
  <c r="I93" i="1"/>
  <c r="I125" i="1" s="1"/>
  <c r="H93" i="1"/>
  <c r="G93" i="1"/>
  <c r="G125" i="1" s="1"/>
  <c r="F93" i="1"/>
  <c r="F125" i="1" s="1"/>
  <c r="I92" i="1"/>
  <c r="I124" i="1" s="1"/>
  <c r="H92" i="1"/>
  <c r="G92" i="1"/>
  <c r="G124" i="1" s="1"/>
  <c r="F92" i="1"/>
  <c r="F124" i="1" s="1"/>
  <c r="I91" i="1"/>
  <c r="I123" i="1" s="1"/>
  <c r="H91" i="1"/>
  <c r="H123" i="1" s="1"/>
  <c r="G91" i="1"/>
  <c r="F91" i="1"/>
  <c r="I90" i="1"/>
  <c r="I122" i="1" s="1"/>
  <c r="H90" i="1"/>
  <c r="H122" i="1" s="1"/>
  <c r="G90" i="1"/>
  <c r="G122" i="1" s="1"/>
  <c r="F90" i="1"/>
  <c r="F122" i="1" s="1"/>
  <c r="I89" i="1"/>
  <c r="H89" i="1"/>
  <c r="G89" i="1"/>
  <c r="G121" i="1" s="1"/>
  <c r="F89" i="1"/>
  <c r="F121" i="1" s="1"/>
  <c r="I88" i="1"/>
  <c r="I120" i="1" s="1"/>
  <c r="H88" i="1"/>
  <c r="H120" i="1" s="1"/>
  <c r="G88" i="1"/>
  <c r="G120" i="1" s="1"/>
  <c r="F88" i="1"/>
  <c r="F120" i="1" s="1"/>
  <c r="I87" i="1"/>
  <c r="I119" i="1" s="1"/>
  <c r="H87" i="1"/>
  <c r="G87" i="1"/>
  <c r="G119" i="1" s="1"/>
  <c r="F87" i="1"/>
  <c r="F119" i="1" s="1"/>
  <c r="I86" i="1"/>
  <c r="I118" i="1" s="1"/>
  <c r="H86" i="1"/>
  <c r="H118" i="1" s="1"/>
  <c r="G86" i="1"/>
  <c r="F86" i="1"/>
  <c r="F118" i="1" s="1"/>
  <c r="I85" i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9" i="1" l="1"/>
  <c r="I474" i="1" s="1"/>
  <c r="F362" i="1"/>
  <c r="F429" i="1" s="1"/>
  <c r="H321" i="1"/>
  <c r="H476" i="1" s="1"/>
  <c r="H300" i="1"/>
  <c r="H413" i="1" s="1"/>
  <c r="I325" i="1"/>
  <c r="I480" i="1" s="1"/>
  <c r="F380" i="1"/>
  <c r="F437" i="1" s="1"/>
  <c r="H317" i="1"/>
  <c r="H472" i="1" s="1"/>
  <c r="H322" i="1"/>
  <c r="H477" i="1" s="1"/>
  <c r="G380" i="1"/>
  <c r="G437" i="1" s="1"/>
  <c r="G399" i="1"/>
  <c r="G519" i="1" s="1"/>
  <c r="H380" i="1"/>
  <c r="H437" i="1" s="1"/>
  <c r="I399" i="1"/>
  <c r="I519" i="1" s="1"/>
  <c r="F400" i="1"/>
  <c r="F520" i="1" s="1"/>
  <c r="I324" i="1"/>
  <c r="I479" i="1" s="1"/>
  <c r="H400" i="1"/>
  <c r="H520" i="1" s="1"/>
  <c r="I400" i="1"/>
  <c r="I520" i="1" s="1"/>
  <c r="G903" i="1"/>
  <c r="H320" i="1"/>
  <c r="H475" i="1" s="1"/>
  <c r="F364" i="1"/>
  <c r="F385" i="1"/>
  <c r="F516" i="1" s="1"/>
  <c r="H315" i="1"/>
  <c r="H420" i="1" s="1"/>
  <c r="F325" i="1"/>
  <c r="F480" i="1" s="1"/>
  <c r="H124" i="1"/>
  <c r="I361" i="1"/>
  <c r="I428" i="1" s="1"/>
  <c r="F301" i="1"/>
  <c r="F465" i="1" s="1"/>
  <c r="G361" i="1"/>
  <c r="G428" i="1" s="1"/>
  <c r="G742" i="1" a="1"/>
  <c r="G742" i="1" s="1"/>
  <c r="G744" i="1" s="1" a="1"/>
  <c r="G744" i="1" s="1"/>
  <c r="H323" i="1"/>
  <c r="H478" i="1" s="1"/>
  <c r="H383" i="1"/>
  <c r="H514" i="1" s="1"/>
  <c r="H899" i="1"/>
  <c r="H126" i="1"/>
  <c r="I902" i="1"/>
  <c r="F319" i="1"/>
  <c r="F474" i="1" s="1"/>
  <c r="F324" i="1"/>
  <c r="F479" i="1" s="1"/>
  <c r="F384" i="1"/>
  <c r="F515" i="1" s="1"/>
  <c r="F398" i="1"/>
  <c r="F439" i="1" s="1"/>
  <c r="F317" i="1"/>
  <c r="F472" i="1" s="1"/>
  <c r="F322" i="1"/>
  <c r="F477" i="1" s="1"/>
  <c r="G319" i="1"/>
  <c r="G474" i="1" s="1"/>
  <c r="G324" i="1"/>
  <c r="G479" i="1" s="1"/>
  <c r="G384" i="1"/>
  <c r="G515" i="1" s="1"/>
  <c r="F382" i="1"/>
  <c r="F513" i="1" s="1"/>
  <c r="H125" i="1"/>
  <c r="H324" i="1"/>
  <c r="H479" i="1" s="1"/>
  <c r="H361" i="1"/>
  <c r="H428" i="1" s="1"/>
  <c r="I384" i="1"/>
  <c r="I515" i="1" s="1"/>
  <c r="I398" i="1"/>
  <c r="I439" i="1" s="1"/>
  <c r="I300" i="1"/>
  <c r="I413" i="1" s="1"/>
  <c r="I317" i="1"/>
  <c r="I472" i="1" s="1"/>
  <c r="I241" i="1"/>
  <c r="I316" i="1" s="1"/>
  <c r="I471" i="1" s="1"/>
  <c r="G315" i="1"/>
  <c r="G420" i="1" s="1"/>
  <c r="H119" i="1"/>
  <c r="H386" i="1"/>
  <c r="H517" i="1" s="1"/>
  <c r="I363" i="1"/>
  <c r="I504" i="1" s="1"/>
  <c r="I321" i="1"/>
  <c r="I476" i="1" s="1"/>
  <c r="F386" i="1"/>
  <c r="F517" i="1" s="1"/>
  <c r="I364" i="1"/>
  <c r="G320" i="1"/>
  <c r="G475" i="1" s="1"/>
  <c r="F323" i="1"/>
  <c r="F478" i="1" s="1"/>
  <c r="G301" i="1"/>
  <c r="G465" i="1" s="1"/>
  <c r="G323" i="1"/>
  <c r="G478" i="1" s="1"/>
  <c r="H121" i="1"/>
  <c r="H382" i="1"/>
  <c r="H513" i="1" s="1"/>
  <c r="H384" i="1"/>
  <c r="H515" i="1" s="1"/>
  <c r="H301" i="1"/>
  <c r="H465" i="1" s="1"/>
  <c r="I301" i="1"/>
  <c r="I465" i="1" s="1"/>
  <c r="F383" i="1"/>
  <c r="F514" i="1" s="1"/>
  <c r="I322" i="1"/>
  <c r="I477" i="1" s="1"/>
  <c r="H742" i="1" a="1"/>
  <c r="H742" i="1" s="1"/>
  <c r="H744" i="1" s="1" a="1"/>
  <c r="H744" i="1" s="1"/>
  <c r="F123" i="1"/>
  <c r="I903" i="1"/>
  <c r="G314" i="1"/>
  <c r="G419" i="1" s="1"/>
  <c r="G325" i="1"/>
  <c r="G480" i="1" s="1"/>
  <c r="I383" i="1"/>
  <c r="I514" i="1" s="1"/>
  <c r="H902" i="1"/>
  <c r="F320" i="1"/>
  <c r="F475" i="1" s="1"/>
  <c r="G398" i="1"/>
  <c r="G439" i="1" s="1"/>
  <c r="G386" i="1"/>
  <c r="G517" i="1" s="1"/>
  <c r="H325" i="1"/>
  <c r="H480" i="1" s="1"/>
  <c r="F314" i="1"/>
  <c r="F419" i="1" s="1"/>
  <c r="H385" i="1"/>
  <c r="H516" i="1" s="1"/>
  <c r="H399" i="1"/>
  <c r="H519" i="1" s="1"/>
  <c r="I314" i="1"/>
  <c r="I419" i="1" s="1"/>
  <c r="G362" i="1"/>
  <c r="G429" i="1" s="1"/>
  <c r="I380" i="1"/>
  <c r="I437" i="1" s="1"/>
  <c r="I385" i="1"/>
  <c r="I516" i="1" s="1"/>
  <c r="H241" i="1"/>
  <c r="H316" i="1" s="1"/>
  <c r="H471" i="1" s="1"/>
  <c r="F315" i="1"/>
  <c r="F420" i="1" s="1"/>
  <c r="F241" i="1"/>
  <c r="F316" i="1" s="1"/>
  <c r="F471" i="1" s="1"/>
  <c r="F321" i="1"/>
  <c r="F476" i="1" s="1"/>
  <c r="F128" i="1"/>
  <c r="F363" i="1"/>
  <c r="F504" i="1" s="1"/>
  <c r="G385" i="1"/>
  <c r="G516" i="1" s="1"/>
  <c r="H398" i="1"/>
  <c r="H439" i="1" s="1"/>
  <c r="F300" i="1"/>
  <c r="F413" i="1" s="1"/>
  <c r="G400" i="1"/>
  <c r="G520" i="1" s="1"/>
  <c r="H364" i="1"/>
  <c r="I742" i="1" a="1"/>
  <c r="I742" i="1" s="1"/>
  <c r="I744" i="1" s="1" a="1"/>
  <c r="I744" i="1" s="1"/>
  <c r="I726" i="1" a="1"/>
  <c r="I726" i="1" s="1"/>
  <c r="I728" i="1" s="1" a="1"/>
  <c r="I728" i="1" s="1"/>
  <c r="G786" i="1"/>
  <c r="G787" i="1" s="1"/>
  <c r="G783" i="1"/>
  <c r="H362" i="1"/>
  <c r="H429" i="1" s="1"/>
  <c r="H783" i="1"/>
  <c r="H786" i="1"/>
  <c r="H787" i="1" s="1"/>
  <c r="G364" i="1"/>
  <c r="G274" i="1"/>
  <c r="G363" i="1" s="1"/>
  <c r="G504" i="1" s="1"/>
  <c r="I786" i="1"/>
  <c r="I787" i="1" s="1"/>
  <c r="I783" i="1"/>
  <c r="H363" i="1"/>
  <c r="H504" i="1" s="1"/>
  <c r="G383" i="1"/>
  <c r="G514" i="1" s="1"/>
  <c r="G283" i="1"/>
  <c r="G382" i="1" s="1"/>
  <c r="G513" i="1" s="1"/>
  <c r="I315" i="1"/>
  <c r="I420" i="1" s="1"/>
  <c r="G321" i="1"/>
  <c r="G476" i="1" s="1"/>
  <c r="F141" i="1" a="1"/>
  <c r="F141" i="1" s="1"/>
  <c r="G141" i="1" a="1"/>
  <c r="G141" i="1" s="1"/>
  <c r="G902" i="1"/>
  <c r="G899" i="1"/>
  <c r="H903" i="1"/>
  <c r="H141" i="1" a="1"/>
  <c r="H141" i="1" s="1"/>
  <c r="G241" i="1"/>
  <c r="G316" i="1" s="1"/>
  <c r="G471" i="1" s="1"/>
  <c r="F361" i="1"/>
  <c r="F428" i="1" s="1"/>
  <c r="F895" i="1"/>
  <c r="I141" i="1" a="1"/>
  <c r="I141" i="1" s="1"/>
  <c r="G128" i="1"/>
  <c r="G318" i="1"/>
  <c r="G473" i="1" s="1"/>
  <c r="G300" i="1"/>
  <c r="G413" i="1" s="1"/>
  <c r="H128" i="1"/>
  <c r="H318" i="1"/>
  <c r="H473" i="1" s="1"/>
  <c r="I318" i="1"/>
  <c r="I473" i="1" s="1"/>
  <c r="H319" i="1"/>
  <c r="H474" i="1" s="1"/>
  <c r="F786" i="1"/>
  <c r="F787" i="1" s="1"/>
  <c r="F783" i="1"/>
  <c r="H314" i="1"/>
  <c r="H419" i="1" s="1"/>
  <c r="F742" i="1" a="1"/>
  <c r="F742" i="1" s="1"/>
  <c r="F744" i="1" s="1" a="1"/>
  <c r="F744" i="1" s="1"/>
  <c r="F726" i="1" a="1"/>
  <c r="F726" i="1" s="1"/>
  <c r="F728" i="1" s="1" a="1"/>
  <c r="F728" i="1" s="1"/>
  <c r="G123" i="1"/>
  <c r="I129" i="1"/>
  <c r="G118" i="1"/>
  <c r="G726" i="1" a="1"/>
  <c r="G726" i="1" s="1"/>
  <c r="G728" i="1" s="1" a="1"/>
  <c r="G728" i="1" s="1"/>
  <c r="H726" i="1" a="1"/>
  <c r="H726" i="1" s="1"/>
  <c r="H728" i="1" s="1" a="1"/>
  <c r="H728" i="1" s="1"/>
  <c r="I320" i="1"/>
  <c r="I475" i="1" s="1"/>
  <c r="I899" i="1"/>
  <c r="F925" i="1"/>
  <c r="F924" i="1" s="1"/>
  <c r="G317" i="1"/>
  <c r="G472" i="1" s="1"/>
  <c r="G322" i="1"/>
  <c r="G477" i="1" s="1"/>
  <c r="I470" i="1" l="1"/>
  <c r="I310" i="1"/>
  <c r="F902" i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945" i="1" a="1"/>
  <c r="J1945" i="1" s="1"/>
  <c r="L1950" i="1" a="1"/>
  <c r="L1950" i="1" s="1"/>
  <c r="K1950" i="1" a="1"/>
  <c r="K1950" i="1" s="1"/>
  <c r="J1948" i="1" a="1"/>
  <c r="J1948" i="1" s="1"/>
  <c r="K1946" i="1" a="1"/>
  <c r="K1946" i="1" s="1"/>
  <c r="K1948" i="1" a="1"/>
  <c r="K1948" i="1" s="1"/>
  <c r="L1947" i="1" a="1"/>
  <c r="L1947" i="1" s="1"/>
  <c r="J1947" i="1" a="1"/>
  <c r="J1947" i="1" s="1"/>
  <c r="J1950" i="1" a="1"/>
  <c r="J1950" i="1" s="1"/>
  <c r="L1949" i="1" a="1"/>
  <c r="L1949" i="1" s="1"/>
  <c r="K1945" i="1" a="1"/>
  <c r="K1945" i="1" s="1"/>
  <c r="K1947" i="1" a="1"/>
  <c r="K1947" i="1" s="1"/>
  <c r="K1949" i="1" a="1"/>
  <c r="K1949" i="1" s="1"/>
  <c r="J1949" i="1" a="1"/>
  <c r="J1949" i="1" s="1"/>
  <c r="L1948" i="1" a="1"/>
  <c r="L1948" i="1" s="1"/>
  <c r="L1946" i="1" a="1"/>
  <c r="L1946" i="1" s="1"/>
  <c r="J1946" i="1" a="1"/>
  <c r="J1946" i="1" s="1"/>
  <c r="L1945" i="1" a="1"/>
  <c r="L1945" i="1" s="1"/>
  <c r="K1939" i="1" a="1"/>
  <c r="K1939" i="1" s="1"/>
  <c r="K1937" i="1" a="1"/>
  <c r="K1937" i="1" s="1"/>
  <c r="L1935" i="1" a="1"/>
  <c r="L1935" i="1" s="1"/>
  <c r="J1938" i="1" a="1"/>
  <c r="J1938" i="1" s="1"/>
  <c r="L1938" i="1" a="1"/>
  <c r="L1938" i="1" s="1"/>
  <c r="J1937" i="1" a="1"/>
  <c r="J1937" i="1" s="1"/>
  <c r="L1936" i="1" a="1"/>
  <c r="L1936" i="1" s="1"/>
  <c r="J1940" i="1" a="1"/>
  <c r="J1940" i="1" s="1"/>
  <c r="J1939" i="1" a="1"/>
  <c r="J1939" i="1" s="1"/>
  <c r="J1936" i="1" a="1"/>
  <c r="J1936" i="1" s="1"/>
  <c r="L1944" i="1" a="1"/>
  <c r="L1944" i="1" s="1"/>
  <c r="K1943" i="1" a="1"/>
  <c r="K1943" i="1" s="1"/>
  <c r="K1940" i="1" a="1"/>
  <c r="K1940" i="1" s="1"/>
  <c r="K1936" i="1" a="1"/>
  <c r="K1936" i="1" s="1"/>
  <c r="K1944" i="1" a="1"/>
  <c r="K1944" i="1" s="1"/>
  <c r="L1942" i="1" a="1"/>
  <c r="L1942" i="1" s="1"/>
  <c r="L1943" i="1" a="1"/>
  <c r="L1943" i="1" s="1"/>
  <c r="J1944" i="1" a="1"/>
  <c r="J1944" i="1" s="1"/>
  <c r="J1943" i="1" a="1"/>
  <c r="J1943" i="1" s="1"/>
  <c r="K1942" i="1" a="1"/>
  <c r="K1942" i="1" s="1"/>
  <c r="J1942" i="1" a="1"/>
  <c r="J1942" i="1" s="1"/>
  <c r="L1939" i="1" a="1"/>
  <c r="L1939" i="1" s="1"/>
  <c r="L1940" i="1" a="1"/>
  <c r="L1940" i="1" s="1"/>
  <c r="L1937" i="1" a="1"/>
  <c r="L1937" i="1" s="1"/>
  <c r="L1941" i="1" a="1"/>
  <c r="L1941" i="1" s="1"/>
  <c r="K1941" i="1" a="1"/>
  <c r="K1941" i="1" s="1"/>
  <c r="J1941" i="1" a="1"/>
  <c r="J1941" i="1" s="1"/>
  <c r="K1938" i="1" a="1"/>
  <c r="K1938" i="1" s="1"/>
  <c r="K1928" i="1" a="1"/>
  <c r="K1928" i="1" s="1"/>
  <c r="J1929" i="1" a="1"/>
  <c r="J1929" i="1" s="1"/>
  <c r="L1927" i="1" a="1"/>
  <c r="L1927" i="1" s="1"/>
  <c r="L1933" i="1" a="1"/>
  <c r="L1933" i="1" s="1"/>
  <c r="K1932" i="1" a="1"/>
  <c r="K1932" i="1" s="1"/>
  <c r="K1927" i="1" a="1"/>
  <c r="K1927" i="1" s="1"/>
  <c r="J1933" i="1" a="1"/>
  <c r="J1933" i="1" s="1"/>
  <c r="J1927" i="1" a="1"/>
  <c r="J1927" i="1" s="1"/>
  <c r="J1931" i="1" a="1"/>
  <c r="J1931" i="1" s="1"/>
  <c r="J1928" i="1" a="1"/>
  <c r="J1928" i="1" s="1"/>
  <c r="K1930" i="1" a="1"/>
  <c r="K1930" i="1" s="1"/>
  <c r="L1926" i="1" a="1"/>
  <c r="L1926" i="1" s="1"/>
  <c r="L1931" i="1" a="1"/>
  <c r="L1931" i="1" s="1"/>
  <c r="L1929" i="1" a="1"/>
  <c r="L1929" i="1" s="1"/>
  <c r="L1928" i="1" a="1"/>
  <c r="L1928" i="1" s="1"/>
  <c r="L1934" i="1" a="1"/>
  <c r="L1934" i="1" s="1"/>
  <c r="K1935" i="1" a="1"/>
  <c r="K1935" i="1" s="1"/>
  <c r="K1931" i="1" a="1"/>
  <c r="K1931" i="1" s="1"/>
  <c r="J1932" i="1" a="1"/>
  <c r="J1932" i="1" s="1"/>
  <c r="L1930" i="1" a="1"/>
  <c r="L1930" i="1" s="1"/>
  <c r="J1930" i="1" a="1"/>
  <c r="J1930" i="1" s="1"/>
  <c r="J1935" i="1" a="1"/>
  <c r="J1935" i="1" s="1"/>
  <c r="K1929" i="1" a="1"/>
  <c r="K1929" i="1" s="1"/>
  <c r="K1933" i="1" a="1"/>
  <c r="K1933" i="1" s="1"/>
  <c r="K1934" i="1" a="1"/>
  <c r="K1934" i="1" s="1"/>
  <c r="J1934" i="1" a="1"/>
  <c r="J1934" i="1" s="1"/>
  <c r="L1932" i="1" a="1"/>
  <c r="L1932" i="1" s="1"/>
  <c r="J1919" i="1" a="1"/>
  <c r="J1919" i="1" s="1"/>
  <c r="K1919" i="1" a="1"/>
  <c r="K1919" i="1" s="1"/>
  <c r="K1925" i="1" a="1"/>
  <c r="K1925" i="1" s="1"/>
  <c r="L1924" i="1" a="1"/>
  <c r="L1924" i="1" s="1"/>
  <c r="K1924" i="1" a="1"/>
  <c r="K1924" i="1" s="1"/>
  <c r="L1921" i="1" a="1"/>
  <c r="L1921" i="1" s="1"/>
  <c r="K1923" i="1" a="1"/>
  <c r="K1923" i="1" s="1"/>
  <c r="L1923" i="1" a="1"/>
  <c r="L1923" i="1" s="1"/>
  <c r="L1922" i="1" a="1"/>
  <c r="L1922" i="1" s="1"/>
  <c r="K1922" i="1" a="1"/>
  <c r="K1922" i="1" s="1"/>
  <c r="J1925" i="1" a="1"/>
  <c r="J1925" i="1" s="1"/>
  <c r="J1924" i="1" a="1"/>
  <c r="J1924" i="1" s="1"/>
  <c r="K1921" i="1" a="1"/>
  <c r="K1921" i="1" s="1"/>
  <c r="L1920" i="1" a="1"/>
  <c r="L1920" i="1" s="1"/>
  <c r="J1922" i="1" a="1"/>
  <c r="J1922" i="1" s="1"/>
  <c r="K1920" i="1" a="1"/>
  <c r="K1920" i="1" s="1"/>
  <c r="L1919" i="1" a="1"/>
  <c r="L1919" i="1" s="1"/>
  <c r="K1926" i="1" a="1"/>
  <c r="K1926" i="1" s="1"/>
  <c r="J1920" i="1" a="1"/>
  <c r="J1920" i="1" s="1"/>
  <c r="J1926" i="1" a="1"/>
  <c r="J1926" i="1" s="1"/>
  <c r="J1921" i="1" a="1"/>
  <c r="J1921" i="1" s="1"/>
  <c r="J1923" i="1" a="1"/>
  <c r="J1923" i="1" s="1"/>
  <c r="L1925" i="1" a="1"/>
  <c r="L1925" i="1" s="1"/>
  <c r="L1913" i="1" a="1"/>
  <c r="L1913" i="1" s="1"/>
  <c r="J1911" i="1" a="1"/>
  <c r="J1911" i="1" s="1"/>
  <c r="L1916" i="1" a="1"/>
  <c r="L1916" i="1" s="1"/>
  <c r="L1918" i="1" a="1"/>
  <c r="L1918" i="1" s="1"/>
  <c r="K1918" i="1" a="1"/>
  <c r="K1918" i="1" s="1"/>
  <c r="J1918" i="1" a="1"/>
  <c r="J1918" i="1" s="1"/>
  <c r="K1913" i="1" a="1"/>
  <c r="K1913" i="1" s="1"/>
  <c r="L1915" i="1" a="1"/>
  <c r="L1915" i="1" s="1"/>
  <c r="L1917" i="1" a="1"/>
  <c r="L1917" i="1" s="1"/>
  <c r="J1915" i="1" a="1"/>
  <c r="J1915" i="1" s="1"/>
  <c r="K1916" i="1" a="1"/>
  <c r="K1916" i="1" s="1"/>
  <c r="K1915" i="1" a="1"/>
  <c r="K1915" i="1" s="1"/>
  <c r="K1917" i="1" a="1"/>
  <c r="K1917" i="1" s="1"/>
  <c r="J1916" i="1" a="1"/>
  <c r="J1916" i="1" s="1"/>
  <c r="L1914" i="1" a="1"/>
  <c r="L1914" i="1" s="1"/>
  <c r="J1913" i="1" a="1"/>
  <c r="J1913" i="1" s="1"/>
  <c r="J1914" i="1" a="1"/>
  <c r="J1914" i="1" s="1"/>
  <c r="K1911" i="1" a="1"/>
  <c r="K1911" i="1" s="1"/>
  <c r="L1911" i="1" a="1"/>
  <c r="L1911" i="1" s="1"/>
  <c r="K1914" i="1" a="1"/>
  <c r="K1914" i="1" s="1"/>
  <c r="J1917" i="1" a="1"/>
  <c r="J1917" i="1" s="1"/>
  <c r="J1912" i="1" a="1"/>
  <c r="J1912" i="1" s="1"/>
  <c r="L1912" i="1" a="1"/>
  <c r="L1912" i="1" s="1"/>
  <c r="K1912" i="1" a="1"/>
  <c r="K1912" i="1" s="1"/>
  <c r="L1907" i="1" a="1"/>
  <c r="L1907" i="1" s="1"/>
  <c r="K1907" i="1" a="1"/>
  <c r="K1907" i="1" s="1"/>
  <c r="J1908" i="1" a="1"/>
  <c r="J1908" i="1" s="1"/>
  <c r="J1907" i="1" a="1"/>
  <c r="J1907" i="1" s="1"/>
  <c r="L1904" i="1" a="1"/>
  <c r="L1904" i="1" s="1"/>
  <c r="L1905" i="1" a="1"/>
  <c r="L1905" i="1" s="1"/>
  <c r="K1904" i="1" a="1"/>
  <c r="K1904" i="1" s="1"/>
  <c r="J1904" i="1" a="1"/>
  <c r="J1904" i="1" s="1"/>
  <c r="K1909" i="1" a="1"/>
  <c r="K1909" i="1" s="1"/>
  <c r="K1908" i="1" a="1"/>
  <c r="K1908" i="1" s="1"/>
  <c r="L1909" i="1" a="1"/>
  <c r="L1909" i="1" s="1"/>
  <c r="K1905" i="1" a="1"/>
  <c r="K1905" i="1" s="1"/>
  <c r="L1906" i="1" a="1"/>
  <c r="L1906" i="1" s="1"/>
  <c r="J1905" i="1" a="1"/>
  <c r="J1905" i="1" s="1"/>
  <c r="K1906" i="1" a="1"/>
  <c r="K1906" i="1" s="1"/>
  <c r="L1908" i="1" a="1"/>
  <c r="L1908" i="1" s="1"/>
  <c r="J1906" i="1" a="1"/>
  <c r="J1906" i="1" s="1"/>
  <c r="J1909" i="1" a="1"/>
  <c r="J1909" i="1" s="1"/>
  <c r="L1910" i="1" a="1"/>
  <c r="L1910" i="1" s="1"/>
  <c r="K1910" i="1" a="1"/>
  <c r="K1910" i="1" s="1"/>
  <c r="J1910" i="1" a="1"/>
  <c r="J1910" i="1" s="1"/>
  <c r="K1485" i="1" a="1"/>
  <c r="K1485" i="1" s="1"/>
  <c r="J1485" i="1" a="1"/>
  <c r="J1485" i="1" s="1"/>
  <c r="J1458" i="1" a="1"/>
  <c r="J1458" i="1" s="1"/>
  <c r="K1458" i="1" a="1"/>
  <c r="K1458" i="1" s="1"/>
  <c r="L1458" i="1" a="1"/>
  <c r="L1458" i="1" s="1"/>
  <c r="K1452" i="1" a="1"/>
  <c r="K1452" i="1" s="1"/>
  <c r="L1456" i="1" a="1"/>
  <c r="L1456" i="1" s="1"/>
  <c r="J1455" i="1" a="1"/>
  <c r="J1455" i="1" s="1"/>
  <c r="J1456" i="1" a="1"/>
  <c r="J1456" i="1" s="1"/>
  <c r="J1454" i="1" a="1"/>
  <c r="J1454" i="1" s="1"/>
  <c r="L1454" i="1" a="1"/>
  <c r="L1454" i="1" s="1"/>
  <c r="K1455" i="1" a="1"/>
  <c r="K1455" i="1" s="1"/>
  <c r="K1453" i="1" a="1"/>
  <c r="K1453" i="1" s="1"/>
  <c r="K1451" i="1" a="1"/>
  <c r="K1451" i="1" s="1"/>
  <c r="K1449" i="1" a="1"/>
  <c r="K1449" i="1" s="1"/>
  <c r="J1450" i="1" a="1"/>
  <c r="J1450" i="1" s="1"/>
  <c r="L1455" i="1" a="1"/>
  <c r="L1455" i="1" s="1"/>
  <c r="L1457" i="1" a="1"/>
  <c r="L1457" i="1" s="1"/>
  <c r="K1457" i="1" a="1"/>
  <c r="K1457" i="1" s="1"/>
  <c r="J1457" i="1" a="1"/>
  <c r="J1457" i="1" s="1"/>
  <c r="J1449" i="1" a="1"/>
  <c r="J1449" i="1" s="1"/>
  <c r="K1456" i="1" a="1"/>
  <c r="K1456" i="1" s="1"/>
  <c r="J1452" i="1" a="1"/>
  <c r="J1452" i="1" s="1"/>
  <c r="L1449" i="1" a="1"/>
  <c r="L1449" i="1" s="1"/>
  <c r="L1450" i="1" a="1"/>
  <c r="L1450" i="1" s="1"/>
  <c r="L1452" i="1" a="1"/>
  <c r="L1452" i="1" s="1"/>
  <c r="J1453" i="1" a="1"/>
  <c r="J1453" i="1" s="1"/>
  <c r="L1453" i="1" a="1"/>
  <c r="L1453" i="1" s="1"/>
  <c r="J1451" i="1" a="1"/>
  <c r="J1451" i="1" s="1"/>
  <c r="K1450" i="1" a="1"/>
  <c r="K1450" i="1" s="1"/>
  <c r="K1454" i="1" a="1"/>
  <c r="K1454" i="1" s="1"/>
  <c r="L1451" i="1" a="1"/>
  <c r="L1451" i="1" s="1"/>
  <c r="K1443" i="1" a="1"/>
  <c r="K1443" i="1" s="1"/>
  <c r="J1445" i="1" a="1"/>
  <c r="J1445" i="1" s="1"/>
  <c r="L1447" i="1" a="1"/>
  <c r="L1447" i="1" s="1"/>
  <c r="J1447" i="1" a="1"/>
  <c r="J1447" i="1" s="1"/>
  <c r="L1439" i="1" a="1"/>
  <c r="L1439" i="1" s="1"/>
  <c r="L1445" i="1" a="1"/>
  <c r="L1445" i="1" s="1"/>
  <c r="L1442" i="1" a="1"/>
  <c r="L1442" i="1" s="1"/>
  <c r="L1440" i="1" a="1"/>
  <c r="L1440" i="1" s="1"/>
  <c r="K1446" i="1" a="1"/>
  <c r="K1446" i="1" s="1"/>
  <c r="K1445" i="1" a="1"/>
  <c r="K1445" i="1" s="1"/>
  <c r="J1441" i="1" a="1"/>
  <c r="J1441" i="1" s="1"/>
  <c r="J1440" i="1" a="1"/>
  <c r="J1440" i="1" s="1"/>
  <c r="L1444" i="1" a="1"/>
  <c r="L1444" i="1" s="1"/>
  <c r="K1440" i="1" a="1"/>
  <c r="K1440" i="1" s="1"/>
  <c r="K1442" i="1" a="1"/>
  <c r="K1442" i="1" s="1"/>
  <c r="J1444" i="1" a="1"/>
  <c r="J1444" i="1" s="1"/>
  <c r="J1442" i="1" a="1"/>
  <c r="J1442" i="1" s="1"/>
  <c r="J1443" i="1" a="1"/>
  <c r="J1443" i="1" s="1"/>
  <c r="K1441" i="1" a="1"/>
  <c r="K1441" i="1" s="1"/>
  <c r="L1443" i="1" a="1"/>
  <c r="L1443" i="1" s="1"/>
  <c r="L1448" i="1" a="1"/>
  <c r="L1448" i="1" s="1"/>
  <c r="K1448" i="1" a="1"/>
  <c r="K1448" i="1" s="1"/>
  <c r="K1447" i="1" a="1"/>
  <c r="K1447" i="1" s="1"/>
  <c r="J1448" i="1" a="1"/>
  <c r="J1448" i="1" s="1"/>
  <c r="L1446" i="1" a="1"/>
  <c r="L1446" i="1" s="1"/>
  <c r="J1446" i="1" a="1"/>
  <c r="J1446" i="1" s="1"/>
  <c r="L1441" i="1" a="1"/>
  <c r="L1441" i="1" s="1"/>
  <c r="K1444" i="1" a="1"/>
  <c r="K1444" i="1" s="1"/>
  <c r="L1436" i="1" a="1"/>
  <c r="L1436" i="1" s="1"/>
  <c r="K1436" i="1" a="1"/>
  <c r="K1436" i="1" s="1"/>
  <c r="J1433" i="1" a="1"/>
  <c r="J1433" i="1" s="1"/>
  <c r="K1434" i="1" a="1"/>
  <c r="K1434" i="1" s="1"/>
  <c r="J1431" i="1" a="1"/>
  <c r="J1431" i="1" s="1"/>
  <c r="L1434" i="1" a="1"/>
  <c r="L1434" i="1" s="1"/>
  <c r="L1432" i="1" a="1"/>
  <c r="L1432" i="1" s="1"/>
  <c r="J1434" i="1" a="1"/>
  <c r="J1434" i="1" s="1"/>
  <c r="K1432" i="1" a="1"/>
  <c r="K1432" i="1" s="1"/>
  <c r="L1431" i="1" a="1"/>
  <c r="L1431" i="1" s="1"/>
  <c r="J1438" i="1" a="1"/>
  <c r="J1438" i="1" s="1"/>
  <c r="K1439" i="1" a="1"/>
  <c r="K1439" i="1" s="1"/>
  <c r="K1433" i="1" a="1"/>
  <c r="K1433" i="1" s="1"/>
  <c r="J1436" i="1" a="1"/>
  <c r="J1436" i="1" s="1"/>
  <c r="K1431" i="1" a="1"/>
  <c r="K1431" i="1" s="1"/>
  <c r="J1437" i="1" a="1"/>
  <c r="J1437" i="1" s="1"/>
  <c r="L1433" i="1" a="1"/>
  <c r="L1433" i="1" s="1"/>
  <c r="L1430" i="1" a="1"/>
  <c r="L1430" i="1" s="1"/>
  <c r="J1439" i="1" a="1"/>
  <c r="J1439" i="1" s="1"/>
  <c r="J1432" i="1" a="1"/>
  <c r="J1432" i="1" s="1"/>
  <c r="L1438" i="1" a="1"/>
  <c r="L1438" i="1" s="1"/>
  <c r="K1437" i="1" a="1"/>
  <c r="K1437" i="1" s="1"/>
  <c r="K1438" i="1" a="1"/>
  <c r="K1438" i="1" s="1"/>
  <c r="L1437" i="1" a="1"/>
  <c r="L1437" i="1" s="1"/>
  <c r="K1423" i="1" a="1"/>
  <c r="K1423" i="1" s="1"/>
  <c r="J1423" i="1" a="1"/>
  <c r="J1423" i="1" s="1"/>
  <c r="J1421" i="1" a="1"/>
  <c r="J1421" i="1" s="1"/>
  <c r="L1423" i="1" a="1"/>
  <c r="L1423" i="1" s="1"/>
  <c r="K1424" i="1" a="1"/>
  <c r="K1424" i="1" s="1"/>
  <c r="K1421" i="1" a="1"/>
  <c r="K1421" i="1" s="1"/>
  <c r="J1424" i="1" a="1"/>
  <c r="J1424" i="1" s="1"/>
  <c r="L1422" i="1" a="1"/>
  <c r="L1422" i="1" s="1"/>
  <c r="J1422" i="1" a="1"/>
  <c r="J1422" i="1" s="1"/>
  <c r="K1419" i="1" a="1"/>
  <c r="K1419" i="1" s="1"/>
  <c r="L1421" i="1" a="1"/>
  <c r="L1421" i="1" s="1"/>
  <c r="J1419" i="1" a="1"/>
  <c r="J1419" i="1" s="1"/>
  <c r="K1420" i="1" a="1"/>
  <c r="K1420" i="1" s="1"/>
  <c r="L1420" i="1" a="1"/>
  <c r="L1420" i="1" s="1"/>
  <c r="K1430" i="1" a="1"/>
  <c r="K1430" i="1" s="1"/>
  <c r="J1430" i="1" a="1"/>
  <c r="J1430" i="1" s="1"/>
  <c r="L1424" i="1" a="1"/>
  <c r="L1424" i="1" s="1"/>
  <c r="J1420" i="1" a="1"/>
  <c r="J1420" i="1" s="1"/>
  <c r="K1422" i="1" a="1"/>
  <c r="K1422" i="1" s="1"/>
  <c r="L1419" i="1" a="1"/>
  <c r="L1419" i="1" s="1"/>
  <c r="K1408" i="1" a="1"/>
  <c r="K1408" i="1" s="1"/>
  <c r="K1418" i="1" a="1"/>
  <c r="K1418" i="1" s="1"/>
  <c r="L1417" i="1" a="1"/>
  <c r="L1417" i="1" s="1"/>
  <c r="J1408" i="1" a="1"/>
  <c r="J1408" i="1" s="1"/>
  <c r="L1418" i="1" a="1"/>
  <c r="L1418" i="1" s="1"/>
  <c r="J1417" i="1" a="1"/>
  <c r="J1417" i="1" s="1"/>
  <c r="L1407" i="1" a="1"/>
  <c r="L1407" i="1" s="1"/>
  <c r="J1416" i="1" a="1"/>
  <c r="J1416" i="1" s="1"/>
  <c r="L1409" i="1" a="1"/>
  <c r="L1409" i="1" s="1"/>
  <c r="K1417" i="1" a="1"/>
  <c r="K1417" i="1" s="1"/>
  <c r="J1418" i="1" a="1"/>
  <c r="J1418" i="1" s="1"/>
  <c r="J1409" i="1" a="1"/>
  <c r="J1409" i="1" s="1"/>
  <c r="K1409" i="1" a="1"/>
  <c r="K1409" i="1" s="1"/>
  <c r="K1416" i="1" a="1"/>
  <c r="K1416" i="1" s="1"/>
  <c r="L1408" i="1" a="1"/>
  <c r="L1408" i="1" s="1"/>
  <c r="L1416" i="1" a="1"/>
  <c r="L1416" i="1" s="1"/>
  <c r="K1410" i="1" a="1"/>
  <c r="K1410" i="1" s="1"/>
  <c r="L1410" i="1" a="1"/>
  <c r="L1410" i="1" s="1"/>
  <c r="J1410" i="1" a="1"/>
  <c r="J1410" i="1" s="1"/>
  <c r="J1407" i="1" a="1"/>
  <c r="J1407" i="1" s="1"/>
  <c r="J1404" i="1" a="1"/>
  <c r="J1404" i="1" s="1"/>
  <c r="L1402" i="1" a="1"/>
  <c r="L1402" i="1" s="1"/>
  <c r="J1405" i="1" a="1"/>
  <c r="J1405" i="1" s="1"/>
  <c r="L1404" i="1" a="1"/>
  <c r="L1404" i="1" s="1"/>
  <c r="J1403" i="1" a="1"/>
  <c r="J1403" i="1" s="1"/>
  <c r="K1402" i="1" a="1"/>
  <c r="K1402" i="1" s="1"/>
  <c r="L1401" i="1" a="1"/>
  <c r="L1401" i="1" s="1"/>
  <c r="K1403" i="1" a="1"/>
  <c r="K1403" i="1" s="1"/>
  <c r="K1401" i="1" a="1"/>
  <c r="K1401" i="1" s="1"/>
  <c r="K1404" i="1" a="1"/>
  <c r="K1404" i="1" s="1"/>
  <c r="K1405" i="1" a="1"/>
  <c r="K1405" i="1" s="1"/>
  <c r="L1403" i="1" a="1"/>
  <c r="L1403" i="1" s="1"/>
  <c r="J1401" i="1" a="1"/>
  <c r="J1401" i="1" s="1"/>
  <c r="L1405" i="1" a="1"/>
  <c r="L1405" i="1" s="1"/>
  <c r="J1402" i="1" a="1"/>
  <c r="J1402" i="1" s="1"/>
  <c r="K1407" i="1" a="1"/>
  <c r="K1407" i="1" s="1"/>
  <c r="K1374" i="1" a="1"/>
  <c r="K1374" i="1" s="1"/>
  <c r="J1372" i="1" a="1"/>
  <c r="J1372" i="1" s="1"/>
  <c r="K1372" i="1" a="1"/>
  <c r="K1372" i="1" s="1"/>
  <c r="L1371" i="1" a="1"/>
  <c r="L1371" i="1" s="1"/>
  <c r="J1373" i="1" a="1"/>
  <c r="J1373" i="1" s="1"/>
  <c r="K1373" i="1" a="1"/>
  <c r="K1373" i="1" s="1"/>
  <c r="J1374" i="1" a="1"/>
  <c r="J1374" i="1" s="1"/>
  <c r="L1374" i="1" a="1"/>
  <c r="L1374" i="1" s="1"/>
  <c r="L1373" i="1" a="1"/>
  <c r="L1373" i="1" s="1"/>
  <c r="L1372" i="1" a="1"/>
  <c r="L1372" i="1" s="1"/>
  <c r="L1367" i="1" a="1"/>
  <c r="L1367" i="1" s="1"/>
  <c r="K1362" i="1" a="1"/>
  <c r="K1362" i="1" s="1"/>
  <c r="K1366" i="1" a="1"/>
  <c r="K1366" i="1" s="1"/>
  <c r="L1364" i="1" a="1"/>
  <c r="L1364" i="1" s="1"/>
  <c r="L1370" i="1" a="1"/>
  <c r="L1370" i="1" s="1"/>
  <c r="J1363" i="1" a="1"/>
  <c r="J1363" i="1" s="1"/>
  <c r="J1370" i="1" a="1"/>
  <c r="J1370" i="1" s="1"/>
  <c r="L1369" i="1" a="1"/>
  <c r="L1369" i="1" s="1"/>
  <c r="J1365" i="1" a="1"/>
  <c r="J1365" i="1" s="1"/>
  <c r="L1362" i="1" a="1"/>
  <c r="L1362" i="1" s="1"/>
  <c r="K1363" i="1" a="1"/>
  <c r="K1363" i="1" s="1"/>
  <c r="L1363" i="1" a="1"/>
  <c r="L1363" i="1" s="1"/>
  <c r="L1366" i="1" a="1"/>
  <c r="L1366" i="1" s="1"/>
  <c r="J1369" i="1" a="1"/>
  <c r="J1369" i="1" s="1"/>
  <c r="J1364" i="1" a="1"/>
  <c r="J1364" i="1" s="1"/>
  <c r="K1367" i="1" a="1"/>
  <c r="K1367" i="1" s="1"/>
  <c r="J1366" i="1" a="1"/>
  <c r="J1366" i="1" s="1"/>
  <c r="J1367" i="1" a="1"/>
  <c r="J1367" i="1" s="1"/>
  <c r="K1365" i="1" a="1"/>
  <c r="K1365" i="1" s="1"/>
  <c r="K1371" i="1" a="1"/>
  <c r="K1371" i="1" s="1"/>
  <c r="J1371" i="1" a="1"/>
  <c r="J1371" i="1" s="1"/>
  <c r="K1364" i="1" a="1"/>
  <c r="K1364" i="1" s="1"/>
  <c r="K1369" i="1" a="1"/>
  <c r="K1369" i="1" s="1"/>
  <c r="L1365" i="1" a="1"/>
  <c r="L1365" i="1" s="1"/>
  <c r="K1370" i="1" a="1"/>
  <c r="K1370" i="1" s="1"/>
  <c r="L1368" i="1" a="1"/>
  <c r="L1368" i="1" s="1"/>
  <c r="K1368" i="1" a="1"/>
  <c r="K1368" i="1" s="1"/>
  <c r="J1368" i="1" a="1"/>
  <c r="J1368" i="1" s="1"/>
  <c r="J1359" i="1" a="1"/>
  <c r="J1359" i="1" s="1"/>
  <c r="L1353" i="1" a="1"/>
  <c r="L1353" i="1" s="1"/>
  <c r="K1354" i="1" a="1"/>
  <c r="K1354" i="1" s="1"/>
  <c r="L1360" i="1" a="1"/>
  <c r="L1360" i="1" s="1"/>
  <c r="K1360" i="1" a="1"/>
  <c r="K1360" i="1" s="1"/>
  <c r="J1356" i="1" a="1"/>
  <c r="J1356" i="1" s="1"/>
  <c r="J1353" i="1" a="1"/>
  <c r="J1353" i="1" s="1"/>
  <c r="J1355" i="1" a="1"/>
  <c r="J1355" i="1" s="1"/>
  <c r="K1355" i="1" a="1"/>
  <c r="K1355" i="1" s="1"/>
  <c r="L1358" i="1" a="1"/>
  <c r="L1358" i="1" s="1"/>
  <c r="K1356" i="1" a="1"/>
  <c r="K1356" i="1" s="1"/>
  <c r="K1353" i="1" a="1"/>
  <c r="K1353" i="1" s="1"/>
  <c r="K1357" i="1" a="1"/>
  <c r="K1357" i="1" s="1"/>
  <c r="L1354" i="1" a="1"/>
  <c r="L1354" i="1" s="1"/>
  <c r="J1354" i="1" a="1"/>
  <c r="J1354" i="1" s="1"/>
  <c r="K1358" i="1" a="1"/>
  <c r="K1358" i="1" s="1"/>
  <c r="L1356" i="1" a="1"/>
  <c r="L1356" i="1" s="1"/>
  <c r="J1358" i="1" a="1"/>
  <c r="J1358" i="1" s="1"/>
  <c r="K1361" i="1" a="1"/>
  <c r="K1361" i="1" s="1"/>
  <c r="J1362" i="1" a="1"/>
  <c r="J1362" i="1" s="1"/>
  <c r="L1359" i="1" a="1"/>
  <c r="L1359" i="1" s="1"/>
  <c r="L1355" i="1" a="1"/>
  <c r="L1355" i="1" s="1"/>
  <c r="J1357" i="1" a="1"/>
  <c r="J1357" i="1" s="1"/>
  <c r="L1361" i="1" a="1"/>
  <c r="L1361" i="1" s="1"/>
  <c r="J1361" i="1" a="1"/>
  <c r="J1361" i="1" s="1"/>
  <c r="J1360" i="1" a="1"/>
  <c r="J1360" i="1" s="1"/>
  <c r="K1359" i="1" a="1"/>
  <c r="K1359" i="1" s="1"/>
  <c r="L1357" i="1" a="1"/>
  <c r="L1357" i="1" s="1"/>
  <c r="L1348" i="1" a="1"/>
  <c r="L1348" i="1" s="1"/>
  <c r="L1346" i="1" a="1"/>
  <c r="L1346" i="1" s="1"/>
  <c r="K1347" i="1" a="1"/>
  <c r="K1347" i="1" s="1"/>
  <c r="J1347" i="1" a="1"/>
  <c r="J1347" i="1" s="1"/>
  <c r="L1352" i="1" a="1"/>
  <c r="L1352" i="1" s="1"/>
  <c r="K1352" i="1" a="1"/>
  <c r="K1352" i="1" s="1"/>
  <c r="L1347" i="1" a="1"/>
  <c r="L1347" i="1" s="1"/>
  <c r="J1346" i="1" a="1"/>
  <c r="J1346" i="1" s="1"/>
  <c r="L1349" i="1" a="1"/>
  <c r="L1349" i="1" s="1"/>
  <c r="K1346" i="1" a="1"/>
  <c r="K1346" i="1" s="1"/>
  <c r="J1352" i="1" a="1"/>
  <c r="J1352" i="1" s="1"/>
  <c r="J1350" i="1" a="1"/>
  <c r="J1350" i="1" s="1"/>
  <c r="K1349" i="1" a="1"/>
  <c r="K1349" i="1" s="1"/>
  <c r="J1349" i="1" a="1"/>
  <c r="J1349" i="1" s="1"/>
  <c r="L1350" i="1" a="1"/>
  <c r="L1350" i="1" s="1"/>
  <c r="K1348" i="1" a="1"/>
  <c r="K1348" i="1" s="1"/>
  <c r="K1350" i="1" a="1"/>
  <c r="K1350" i="1" s="1"/>
  <c r="J1348" i="1" a="1"/>
  <c r="J1348" i="1" s="1"/>
  <c r="K1332" i="1" a="1"/>
  <c r="K1332" i="1" s="1"/>
  <c r="K1340" i="1" a="1"/>
  <c r="K1340" i="1" s="1"/>
  <c r="J1340" i="1" a="1"/>
  <c r="J1340" i="1" s="1"/>
  <c r="K1339" i="1" a="1"/>
  <c r="K1339" i="1" s="1"/>
  <c r="K1337" i="1" a="1"/>
  <c r="K1337" i="1" s="1"/>
  <c r="J1339" i="1" a="1"/>
  <c r="J1339" i="1" s="1"/>
  <c r="K1334" i="1" a="1"/>
  <c r="K1334" i="1" s="1"/>
  <c r="J1332" i="1" a="1"/>
  <c r="J1332" i="1" s="1"/>
  <c r="L1337" i="1" a="1"/>
  <c r="L1337" i="1" s="1"/>
  <c r="K1338" i="1" a="1"/>
  <c r="K1338" i="1" s="1"/>
  <c r="J1338" i="1" a="1"/>
  <c r="J1338" i="1" s="1"/>
  <c r="K1335" i="1" a="1"/>
  <c r="K1335" i="1" s="1"/>
  <c r="J1334" i="1" a="1"/>
  <c r="J1334" i="1" s="1"/>
  <c r="J1333" i="1" a="1"/>
  <c r="J1333" i="1" s="1"/>
  <c r="K1336" i="1" a="1"/>
  <c r="K1336" i="1" s="1"/>
  <c r="L1335" i="1" a="1"/>
  <c r="L1335" i="1" s="1"/>
  <c r="L1336" i="1" a="1"/>
  <c r="L1336" i="1" s="1"/>
  <c r="L1332" i="1" a="1"/>
  <c r="L1332" i="1" s="1"/>
  <c r="J1336" i="1" a="1"/>
  <c r="J1336" i="1" s="1"/>
  <c r="L1338" i="1" a="1"/>
  <c r="L1338" i="1" s="1"/>
  <c r="L1339" i="1" a="1"/>
  <c r="L1339" i="1" s="1"/>
  <c r="L1334" i="1" a="1"/>
  <c r="L1334" i="1" s="1"/>
  <c r="J1337" i="1" a="1"/>
  <c r="J1337" i="1" s="1"/>
  <c r="K1333" i="1" a="1"/>
  <c r="K1333" i="1" s="1"/>
  <c r="L1340" i="1" a="1"/>
  <c r="L1340" i="1" s="1"/>
  <c r="L1333" i="1" a="1"/>
  <c r="L1333" i="1" s="1"/>
  <c r="J1335" i="1" a="1"/>
  <c r="J1335" i="1" s="1"/>
  <c r="J1321" i="1" a="1"/>
  <c r="J1321" i="1" s="1"/>
  <c r="L1324" i="1" a="1"/>
  <c r="L1324" i="1" s="1"/>
  <c r="J1324" i="1" a="1"/>
  <c r="J1324" i="1" s="1"/>
  <c r="K1321" i="1" a="1"/>
  <c r="K1321" i="1" s="1"/>
  <c r="L1326" i="1" a="1"/>
  <c r="L1326" i="1" s="1"/>
  <c r="K1323" i="1" a="1"/>
  <c r="K1323" i="1" s="1"/>
  <c r="K1320" i="1" a="1"/>
  <c r="K1320" i="1" s="1"/>
  <c r="K1325" i="1" a="1"/>
  <c r="K1325" i="1" s="1"/>
  <c r="J1323" i="1" a="1"/>
  <c r="J1323" i="1" s="1"/>
  <c r="J1320" i="1" a="1"/>
  <c r="J1320" i="1" s="1"/>
  <c r="J1325" i="1" a="1"/>
  <c r="J1325" i="1" s="1"/>
  <c r="K1324" i="1" a="1"/>
  <c r="K1324" i="1" s="1"/>
  <c r="L1323" i="1" a="1"/>
  <c r="L1323" i="1" s="1"/>
  <c r="L1321" i="1" a="1"/>
  <c r="L1321" i="1" s="1"/>
  <c r="J1326" i="1" a="1"/>
  <c r="J1326" i="1" s="1"/>
  <c r="L1320" i="1" a="1"/>
  <c r="L1320" i="1" s="1"/>
  <c r="K1326" i="1" a="1"/>
  <c r="K1326" i="1" s="1"/>
  <c r="L1325" i="1" a="1"/>
  <c r="L1325" i="1" s="1"/>
  <c r="L1319" i="1" a="1"/>
  <c r="L1319" i="1" s="1"/>
  <c r="K1319" i="1" a="1"/>
  <c r="K1319" i="1" s="1"/>
  <c r="J1319" i="1" a="1"/>
  <c r="J1319" i="1" s="1"/>
  <c r="J1317" i="1" a="1"/>
  <c r="J1317" i="1" s="1"/>
  <c r="K1317" i="1" a="1"/>
  <c r="K1317" i="1" s="1"/>
  <c r="L1318" i="1" a="1"/>
  <c r="L1318" i="1" s="1"/>
  <c r="K1318" i="1" a="1"/>
  <c r="K1318" i="1" s="1"/>
  <c r="J1318" i="1" a="1"/>
  <c r="J1318" i="1" s="1"/>
  <c r="L1317" i="1" a="1"/>
  <c r="L1317" i="1" s="1"/>
  <c r="J1262" i="1" a="1"/>
  <c r="J1262" i="1" s="1"/>
  <c r="K1262" i="1" a="1"/>
  <c r="K1262" i="1" s="1"/>
  <c r="J1263" i="1" a="1"/>
  <c r="J1263" i="1" s="1"/>
  <c r="L1262" i="1" a="1"/>
  <c r="L1262" i="1" s="1"/>
  <c r="L1261" i="1" a="1"/>
  <c r="L1261" i="1" s="1"/>
  <c r="J1260" i="1" a="1"/>
  <c r="J1260" i="1" s="1"/>
  <c r="L1263" i="1" a="1"/>
  <c r="L1263" i="1" s="1"/>
  <c r="K1260" i="1" a="1"/>
  <c r="K1260" i="1" s="1"/>
  <c r="L1260" i="1" a="1"/>
  <c r="L1260" i="1" s="1"/>
  <c r="K1261" i="1" a="1"/>
  <c r="K1261" i="1" s="1"/>
  <c r="K1263" i="1" a="1"/>
  <c r="K1263" i="1" s="1"/>
  <c r="J1261" i="1" a="1"/>
  <c r="J1261" i="1" s="1"/>
  <c r="K1256" i="1" a="1"/>
  <c r="K1256" i="1" s="1"/>
  <c r="L1259" i="1" a="1"/>
  <c r="L1259" i="1" s="1"/>
  <c r="J1255" i="1" a="1"/>
  <c r="J1255" i="1" s="1"/>
  <c r="J1254" i="1" a="1"/>
  <c r="J1254" i="1" s="1"/>
  <c r="K1259" i="1" a="1"/>
  <c r="K1259" i="1" s="1"/>
  <c r="J1251" i="1" a="1"/>
  <c r="J1251" i="1" s="1"/>
  <c r="K1255" i="1" a="1"/>
  <c r="K1255" i="1" s="1"/>
  <c r="J1257" i="1" a="1"/>
  <c r="J1257" i="1" s="1"/>
  <c r="J1253" i="1" a="1"/>
  <c r="J1253" i="1" s="1"/>
  <c r="K1253" i="1" a="1"/>
  <c r="K1253" i="1" s="1"/>
  <c r="J1259" i="1" a="1"/>
  <c r="J1259" i="1" s="1"/>
  <c r="J1252" i="1" a="1"/>
  <c r="J1252" i="1" s="1"/>
  <c r="L1252" i="1" a="1"/>
  <c r="L1252" i="1" s="1"/>
  <c r="K1257" i="1" a="1"/>
  <c r="K1257" i="1" s="1"/>
  <c r="L1256" i="1" a="1"/>
  <c r="L1256" i="1" s="1"/>
  <c r="K1252" i="1" a="1"/>
  <c r="K1252" i="1" s="1"/>
  <c r="K1251" i="1" a="1"/>
  <c r="K1251" i="1" s="1"/>
  <c r="L1258" i="1" a="1"/>
  <c r="L1258" i="1" s="1"/>
  <c r="K1258" i="1" a="1"/>
  <c r="K1258" i="1" s="1"/>
  <c r="J1258" i="1" a="1"/>
  <c r="J1258" i="1" s="1"/>
  <c r="L1254" i="1" a="1"/>
  <c r="L1254" i="1" s="1"/>
  <c r="L1257" i="1" a="1"/>
  <c r="L1257" i="1" s="1"/>
  <c r="L1253" i="1" a="1"/>
  <c r="L1253" i="1" s="1"/>
  <c r="J1256" i="1" a="1"/>
  <c r="J1256" i="1" s="1"/>
  <c r="L1251" i="1" a="1"/>
  <c r="L1251" i="1" s="1"/>
  <c r="L1255" i="1" a="1"/>
  <c r="L1255" i="1" s="1"/>
  <c r="K1254" i="1" a="1"/>
  <c r="K1254" i="1" s="1"/>
  <c r="J1245" i="1" a="1"/>
  <c r="J1245" i="1" s="1"/>
  <c r="L1243" i="1" a="1"/>
  <c r="L1243" i="1" s="1"/>
  <c r="L1244" i="1" a="1"/>
  <c r="L1244" i="1" s="1"/>
  <c r="L1249" i="1" a="1"/>
  <c r="L1249" i="1" s="1"/>
  <c r="K1243" i="1" a="1"/>
  <c r="K1243" i="1" s="1"/>
  <c r="K1247" i="1" a="1"/>
  <c r="K1247" i="1" s="1"/>
  <c r="J1244" i="1" a="1"/>
  <c r="J1244" i="1" s="1"/>
  <c r="K1249" i="1" a="1"/>
  <c r="K1249" i="1" s="1"/>
  <c r="J1248" i="1" a="1"/>
  <c r="J1248" i="1" s="1"/>
  <c r="K1244" i="1" a="1"/>
  <c r="K1244" i="1" s="1"/>
  <c r="L1247" i="1" a="1"/>
  <c r="L1247" i="1" s="1"/>
  <c r="L1242" i="1" a="1"/>
  <c r="L1242" i="1" s="1"/>
  <c r="L1250" i="1" a="1"/>
  <c r="L1250" i="1" s="1"/>
  <c r="K1250" i="1" a="1"/>
  <c r="K1250" i="1" s="1"/>
  <c r="J1250" i="1" a="1"/>
  <c r="J1250" i="1" s="1"/>
  <c r="J1249" i="1" a="1"/>
  <c r="J1249" i="1" s="1"/>
  <c r="J1246" i="1" a="1"/>
  <c r="J1246" i="1" s="1"/>
  <c r="K1242" i="1" a="1"/>
  <c r="K1242" i="1" s="1"/>
  <c r="K1246" i="1" a="1"/>
  <c r="K1246" i="1" s="1"/>
  <c r="K1245" i="1" a="1"/>
  <c r="K1245" i="1" s="1"/>
  <c r="J1243" i="1" a="1"/>
  <c r="J1243" i="1" s="1"/>
  <c r="J1247" i="1" a="1"/>
  <c r="J1247" i="1" s="1"/>
  <c r="J1242" i="1" a="1"/>
  <c r="J1242" i="1" s="1"/>
  <c r="L1248" i="1" a="1"/>
  <c r="L1248" i="1" s="1"/>
  <c r="K1248" i="1" a="1"/>
  <c r="K1248" i="1" s="1"/>
  <c r="L1246" i="1" a="1"/>
  <c r="L1246" i="1" s="1"/>
  <c r="L1245" i="1" a="1"/>
  <c r="L1245" i="1" s="1"/>
  <c r="K1234" i="1" a="1"/>
  <c r="K1234" i="1" s="1"/>
  <c r="L1233" i="1" a="1"/>
  <c r="L1233" i="1" s="1"/>
  <c r="J1233" i="1" a="1"/>
  <c r="J1233" i="1" s="1"/>
  <c r="K1238" i="1" a="1"/>
  <c r="K1238" i="1" s="1"/>
  <c r="J1237" i="1" a="1"/>
  <c r="J1237" i="1" s="1"/>
  <c r="K1236" i="1" a="1"/>
  <c r="K1236" i="1" s="1"/>
  <c r="L1240" i="1" a="1"/>
  <c r="L1240" i="1" s="1"/>
  <c r="L1237" i="1" a="1"/>
  <c r="L1237" i="1" s="1"/>
  <c r="K1240" i="1" a="1"/>
  <c r="K1240" i="1" s="1"/>
  <c r="L1239" i="1" a="1"/>
  <c r="L1239" i="1" s="1"/>
  <c r="K1239" i="1" a="1"/>
  <c r="K1239" i="1" s="1"/>
  <c r="J1235" i="1" a="1"/>
  <c r="J1235" i="1" s="1"/>
  <c r="J1239" i="1" a="1"/>
  <c r="J1239" i="1" s="1"/>
  <c r="L1238" i="1" a="1"/>
  <c r="L1238" i="1" s="1"/>
  <c r="J1234" i="1" a="1"/>
  <c r="J1234" i="1" s="1"/>
  <c r="L1235" i="1" a="1"/>
  <c r="L1235" i="1" s="1"/>
  <c r="K1237" i="1" a="1"/>
  <c r="K1237" i="1" s="1"/>
  <c r="L1236" i="1" a="1"/>
  <c r="L1236" i="1" s="1"/>
  <c r="K1233" i="1" a="1"/>
  <c r="K1233" i="1" s="1"/>
  <c r="L1232" i="1" a="1"/>
  <c r="L1232" i="1" s="1"/>
  <c r="K1235" i="1" a="1"/>
  <c r="K1235" i="1" s="1"/>
  <c r="L1234" i="1" a="1"/>
  <c r="L1234" i="1" s="1"/>
  <c r="L1241" i="1" a="1"/>
  <c r="L1241" i="1" s="1"/>
  <c r="K1241" i="1" a="1"/>
  <c r="K1241" i="1" s="1"/>
  <c r="J1238" i="1" a="1"/>
  <c r="J1238" i="1" s="1"/>
  <c r="J1240" i="1" a="1"/>
  <c r="J1240" i="1" s="1"/>
  <c r="J1241" i="1" a="1"/>
  <c r="J1241" i="1" s="1"/>
  <c r="J1236" i="1" a="1"/>
  <c r="J1236" i="1" s="1"/>
  <c r="L1230" i="1" a="1"/>
  <c r="L1230" i="1" s="1"/>
  <c r="L1226" i="1" a="1"/>
  <c r="L1226" i="1" s="1"/>
  <c r="J1230" i="1" a="1"/>
  <c r="J1230" i="1" s="1"/>
  <c r="K1226" i="1" a="1"/>
  <c r="K1226" i="1" s="1"/>
  <c r="J1224" i="1" a="1"/>
  <c r="J1224" i="1" s="1"/>
  <c r="L1229" i="1" a="1"/>
  <c r="L1229" i="1" s="1"/>
  <c r="K1228" i="1" a="1"/>
  <c r="K1228" i="1" s="1"/>
  <c r="L1225" i="1" a="1"/>
  <c r="L1225" i="1" s="1"/>
  <c r="L1228" i="1" a="1"/>
  <c r="L1228" i="1" s="1"/>
  <c r="J1228" i="1" a="1"/>
  <c r="J1228" i="1" s="1"/>
  <c r="L1227" i="1" a="1"/>
  <c r="L1227" i="1" s="1"/>
  <c r="K1225" i="1" a="1"/>
  <c r="K1225" i="1" s="1"/>
  <c r="K1223" i="1" a="1"/>
  <c r="K1223" i="1" s="1"/>
  <c r="K1232" i="1" a="1"/>
  <c r="K1232" i="1" s="1"/>
  <c r="J1232" i="1" a="1"/>
  <c r="J1232" i="1" s="1"/>
  <c r="J1227" i="1" a="1"/>
  <c r="J1227" i="1" s="1"/>
  <c r="J1229" i="1" a="1"/>
  <c r="J1229" i="1" s="1"/>
  <c r="J1225" i="1" a="1"/>
  <c r="J1225" i="1" s="1"/>
  <c r="L1223" i="1" a="1"/>
  <c r="L1223" i="1" s="1"/>
  <c r="K1224" i="1" a="1"/>
  <c r="K1224" i="1" s="1"/>
  <c r="L1231" i="1" a="1"/>
  <c r="L1231" i="1" s="1"/>
  <c r="K1231" i="1" a="1"/>
  <c r="K1231" i="1" s="1"/>
  <c r="J1226" i="1" a="1"/>
  <c r="J1226" i="1" s="1"/>
  <c r="J1231" i="1" a="1"/>
  <c r="J1231" i="1" s="1"/>
  <c r="L1224" i="1" a="1"/>
  <c r="L1224" i="1" s="1"/>
  <c r="K1227" i="1" a="1"/>
  <c r="K1227" i="1" s="1"/>
  <c r="K1230" i="1" a="1"/>
  <c r="K1230" i="1" s="1"/>
  <c r="K1229" i="1" a="1"/>
  <c r="K1229" i="1" s="1"/>
  <c r="J1223" i="1" a="1"/>
  <c r="J1223" i="1" s="1"/>
  <c r="L1222" i="1" a="1"/>
  <c r="L1222" i="1" s="1"/>
  <c r="L1219" i="1" a="1"/>
  <c r="L1219" i="1" s="1"/>
  <c r="J1220" i="1" a="1"/>
  <c r="J1220" i="1" s="1"/>
  <c r="J1215" i="1" a="1"/>
  <c r="J1215" i="1" s="1"/>
  <c r="K1215" i="1" a="1"/>
  <c r="K1215" i="1" s="1"/>
  <c r="J1217" i="1" a="1"/>
  <c r="J1217" i="1" s="1"/>
  <c r="L1221" i="1" a="1"/>
  <c r="L1221" i="1" s="1"/>
  <c r="K1220" i="1" a="1"/>
  <c r="K1220" i="1" s="1"/>
  <c r="K1219" i="1" a="1"/>
  <c r="K1219" i="1" s="1"/>
  <c r="K1217" i="1" a="1"/>
  <c r="K1217" i="1" s="1"/>
  <c r="J1216" i="1" a="1"/>
  <c r="J1216" i="1" s="1"/>
  <c r="K1216" i="1" a="1"/>
  <c r="K1216" i="1" s="1"/>
  <c r="K1221" i="1" a="1"/>
  <c r="K1221" i="1" s="1"/>
  <c r="J1221" i="1" a="1"/>
  <c r="J1221" i="1" s="1"/>
  <c r="L1215" i="1" a="1"/>
  <c r="L1215" i="1" s="1"/>
  <c r="K1222" i="1" a="1"/>
  <c r="K1222" i="1" s="1"/>
  <c r="L1216" i="1" a="1"/>
  <c r="L1216" i="1" s="1"/>
  <c r="J1219" i="1" a="1"/>
  <c r="J1219" i="1" s="1"/>
  <c r="L1220" i="1" a="1"/>
  <c r="L1220" i="1" s="1"/>
  <c r="J1218" i="1" a="1"/>
  <c r="J1218" i="1" s="1"/>
  <c r="L1217" i="1" a="1"/>
  <c r="L1217" i="1" s="1"/>
  <c r="J1222" i="1" a="1"/>
  <c r="J1222" i="1" s="1"/>
  <c r="L1218" i="1" a="1"/>
  <c r="L1218" i="1" s="1"/>
  <c r="K1218" i="1" a="1"/>
  <c r="K1218" i="1" s="1"/>
  <c r="K1202" i="1" a="1"/>
  <c r="K1202" i="1" s="1"/>
  <c r="L1212" i="1" a="1"/>
  <c r="L1212" i="1" s="1"/>
  <c r="L1214" i="1" a="1"/>
  <c r="L1214" i="1" s="1"/>
  <c r="K1208" i="1" a="1"/>
  <c r="K1208" i="1" s="1"/>
  <c r="J1214" i="1" a="1"/>
  <c r="J1214" i="1" s="1"/>
  <c r="K1214" i="1" a="1"/>
  <c r="K1214" i="1" s="1"/>
  <c r="K1212" i="1" a="1"/>
  <c r="K1212" i="1" s="1"/>
  <c r="J1212" i="1" a="1"/>
  <c r="J1212" i="1" s="1"/>
  <c r="J1211" i="1" a="1"/>
  <c r="J1211" i="1" s="1"/>
  <c r="K1209" i="1" a="1"/>
  <c r="K1209" i="1" s="1"/>
  <c r="L1210" i="1" a="1"/>
  <c r="L1210" i="1" s="1"/>
  <c r="J1202" i="1" a="1"/>
  <c r="J1202" i="1" s="1"/>
  <c r="J1210" i="1" a="1"/>
  <c r="J1210" i="1" s="1"/>
  <c r="J1209" i="1" a="1"/>
  <c r="J1209" i="1" s="1"/>
  <c r="L1208" i="1" a="1"/>
  <c r="L1208" i="1" s="1"/>
  <c r="L1209" i="1" a="1"/>
  <c r="L1209" i="1" s="1"/>
  <c r="J1208" i="1" a="1"/>
  <c r="J1208" i="1" s="1"/>
  <c r="L1211" i="1" a="1"/>
  <c r="L1211" i="1" s="1"/>
  <c r="L1202" i="1" a="1"/>
  <c r="L1202" i="1" s="1"/>
  <c r="K1211" i="1" a="1"/>
  <c r="K1211" i="1" s="1"/>
  <c r="K1210" i="1" a="1"/>
  <c r="K1210" i="1" s="1"/>
  <c r="K1193" i="1" a="1"/>
  <c r="K1193" i="1" s="1"/>
  <c r="L1193" i="1" a="1"/>
  <c r="L1193" i="1" s="1"/>
  <c r="J1199" i="1" a="1"/>
  <c r="J1199" i="1" s="1"/>
  <c r="J1198" i="1" a="1"/>
  <c r="J1198" i="1" s="1"/>
  <c r="L1196" i="1" a="1"/>
  <c r="L1196" i="1" s="1"/>
  <c r="K1197" i="1" a="1"/>
  <c r="K1197" i="1" s="1"/>
  <c r="K1198" i="1" a="1"/>
  <c r="K1198" i="1" s="1"/>
  <c r="L1201" i="1" a="1"/>
  <c r="L1201" i="1" s="1"/>
  <c r="K1196" i="1" a="1"/>
  <c r="K1196" i="1" s="1"/>
  <c r="J1200" i="1" a="1"/>
  <c r="J1200" i="1" s="1"/>
  <c r="K1199" i="1" a="1"/>
  <c r="K1199" i="1" s="1"/>
  <c r="L1198" i="1" a="1"/>
  <c r="L1198" i="1" s="1"/>
  <c r="J1195" i="1" a="1"/>
  <c r="J1195" i="1" s="1"/>
  <c r="L1200" i="1" a="1"/>
  <c r="L1200" i="1" s="1"/>
  <c r="L1194" i="1" a="1"/>
  <c r="L1194" i="1" s="1"/>
  <c r="L1195" i="1" a="1"/>
  <c r="L1195" i="1" s="1"/>
  <c r="K1194" i="1" a="1"/>
  <c r="K1194" i="1" s="1"/>
  <c r="J1193" i="1" a="1"/>
  <c r="J1193" i="1" s="1"/>
  <c r="K1201" i="1" a="1"/>
  <c r="K1201" i="1" s="1"/>
  <c r="J1201" i="1" a="1"/>
  <c r="J1201" i="1" s="1"/>
  <c r="L1197" i="1" a="1"/>
  <c r="L1197" i="1" s="1"/>
  <c r="K1200" i="1" a="1"/>
  <c r="K1200" i="1" s="1"/>
  <c r="J1194" i="1" a="1"/>
  <c r="J1194" i="1" s="1"/>
  <c r="L1199" i="1" a="1"/>
  <c r="L1199" i="1" s="1"/>
  <c r="K1195" i="1" a="1"/>
  <c r="K1195" i="1" s="1"/>
  <c r="J1197" i="1" a="1"/>
  <c r="J1197" i="1" s="1"/>
  <c r="J1196" i="1" a="1"/>
  <c r="J1196" i="1" s="1"/>
  <c r="K1185" i="1" a="1"/>
  <c r="K1185" i="1" s="1"/>
  <c r="J1189" i="1" a="1"/>
  <c r="J1189" i="1" s="1"/>
  <c r="J1185" i="1" a="1"/>
  <c r="J1185" i="1" s="1"/>
  <c r="J1188" i="1" a="1"/>
  <c r="J1188" i="1" s="1"/>
  <c r="L1189" i="1" a="1"/>
  <c r="L1189" i="1" s="1"/>
  <c r="L1187" i="1" a="1"/>
  <c r="L1187" i="1" s="1"/>
  <c r="K1186" i="1" a="1"/>
  <c r="K1186" i="1" s="1"/>
  <c r="L1190" i="1" a="1"/>
  <c r="L1190" i="1" s="1"/>
  <c r="K1188" i="1" a="1"/>
  <c r="K1188" i="1" s="1"/>
  <c r="L1192" i="1" a="1"/>
  <c r="L1192" i="1" s="1"/>
  <c r="K1192" i="1" a="1"/>
  <c r="K1192" i="1" s="1"/>
  <c r="L1186" i="1" a="1"/>
  <c r="L1186" i="1" s="1"/>
  <c r="J1192" i="1" a="1"/>
  <c r="J1192" i="1" s="1"/>
  <c r="J1190" i="1" a="1"/>
  <c r="J1190" i="1" s="1"/>
  <c r="J1191" i="1" a="1"/>
  <c r="J1191" i="1" s="1"/>
  <c r="K1189" i="1" a="1"/>
  <c r="K1189" i="1" s="1"/>
  <c r="J1187" i="1" a="1"/>
  <c r="J1187" i="1" s="1"/>
  <c r="L1185" i="1" a="1"/>
  <c r="L1185" i="1" s="1"/>
  <c r="L1191" i="1" a="1"/>
  <c r="L1191" i="1" s="1"/>
  <c r="K1190" i="1" a="1"/>
  <c r="K1190" i="1" s="1"/>
  <c r="J1186" i="1" a="1"/>
  <c r="J1186" i="1" s="1"/>
  <c r="L1188" i="1" a="1"/>
  <c r="L1188" i="1" s="1"/>
  <c r="K1191" i="1" a="1"/>
  <c r="K1191" i="1" s="1"/>
  <c r="K1187" i="1" a="1"/>
  <c r="K1187" i="1" s="1"/>
  <c r="L1174" i="1" a="1"/>
  <c r="L1174" i="1" s="1"/>
  <c r="L1179" i="1" a="1"/>
  <c r="L1179" i="1" s="1"/>
  <c r="J1178" i="1" a="1"/>
  <c r="J1178" i="1" s="1"/>
  <c r="L1173" i="1" a="1"/>
  <c r="L1173" i="1" s="1"/>
  <c r="K1174" i="1" a="1"/>
  <c r="K1174" i="1" s="1"/>
  <c r="K1179" i="1" a="1"/>
  <c r="K1179" i="1" s="1"/>
  <c r="K1178" i="1" a="1"/>
  <c r="K1178" i="1" s="1"/>
  <c r="K1176" i="1" a="1"/>
  <c r="K1176" i="1" s="1"/>
  <c r="L1177" i="1" a="1"/>
  <c r="L1177" i="1" s="1"/>
  <c r="J1177" i="1" a="1"/>
  <c r="J1177" i="1" s="1"/>
  <c r="J1175" i="1" a="1"/>
  <c r="J1175" i="1" s="1"/>
  <c r="J1174" i="1" a="1"/>
  <c r="J1174" i="1" s="1"/>
  <c r="K1173" i="1" a="1"/>
  <c r="K1173" i="1" s="1"/>
  <c r="J1179" i="1" a="1"/>
  <c r="J1179" i="1" s="1"/>
  <c r="L1175" i="1" a="1"/>
  <c r="L1175" i="1" s="1"/>
  <c r="L1176" i="1" a="1"/>
  <c r="L1176" i="1" s="1"/>
  <c r="K1175" i="1" a="1"/>
  <c r="K1175" i="1" s="1"/>
  <c r="K1177" i="1" a="1"/>
  <c r="K1177" i="1" s="1"/>
  <c r="J1176" i="1" a="1"/>
  <c r="J1176" i="1" s="1"/>
  <c r="L1178" i="1" a="1"/>
  <c r="L1178" i="1" s="1"/>
  <c r="J1173" i="1" a="1"/>
  <c r="J1173" i="1" s="1"/>
  <c r="L1171" i="1" a="1"/>
  <c r="L1171" i="1" s="1"/>
  <c r="J1168" i="1" a="1"/>
  <c r="J1168" i="1" s="1"/>
  <c r="J1171" i="1" a="1"/>
  <c r="J1171" i="1" s="1"/>
  <c r="L1169" i="1" a="1"/>
  <c r="L1169" i="1" s="1"/>
  <c r="J1169" i="1" a="1"/>
  <c r="J1169" i="1" s="1"/>
  <c r="J1165" i="1" a="1"/>
  <c r="J1165" i="1" s="1"/>
  <c r="J1164" i="1" a="1"/>
  <c r="J1164" i="1" s="1"/>
  <c r="K1167" i="1" a="1"/>
  <c r="K1167" i="1" s="1"/>
  <c r="K1169" i="1" a="1"/>
  <c r="K1169" i="1" s="1"/>
  <c r="L1168" i="1" a="1"/>
  <c r="L1168" i="1" s="1"/>
  <c r="L1172" i="1" a="1"/>
  <c r="L1172" i="1" s="1"/>
  <c r="K1172" i="1" a="1"/>
  <c r="K1172" i="1" s="1"/>
  <c r="L1170" i="1" a="1"/>
  <c r="L1170" i="1" s="1"/>
  <c r="J1166" i="1" a="1"/>
  <c r="J1166" i="1" s="1"/>
  <c r="K1165" i="1" a="1"/>
  <c r="K1165" i="1" s="1"/>
  <c r="K1164" i="1" a="1"/>
  <c r="K1164" i="1" s="1"/>
  <c r="J1172" i="1" a="1"/>
  <c r="J1172" i="1" s="1"/>
  <c r="K1166" i="1" a="1"/>
  <c r="K1166" i="1" s="1"/>
  <c r="L1167" i="1" a="1"/>
  <c r="L1167" i="1" s="1"/>
  <c r="L1166" i="1" a="1"/>
  <c r="L1166" i="1" s="1"/>
  <c r="K1170" i="1" a="1"/>
  <c r="K1170" i="1" s="1"/>
  <c r="K1171" i="1" a="1"/>
  <c r="K1171" i="1" s="1"/>
  <c r="L1163" i="1" a="1"/>
  <c r="L1163" i="1" s="1"/>
  <c r="J1170" i="1" a="1"/>
  <c r="J1170" i="1" s="1"/>
  <c r="K1168" i="1" a="1"/>
  <c r="K1168" i="1" s="1"/>
  <c r="L1165" i="1" a="1"/>
  <c r="L1165" i="1" s="1"/>
  <c r="L1164" i="1" a="1"/>
  <c r="L1164" i="1" s="1"/>
  <c r="J1167" i="1" a="1"/>
  <c r="J1167" i="1" s="1"/>
  <c r="K1154" i="1" a="1"/>
  <c r="K1154" i="1" s="1"/>
  <c r="K1150" i="1" a="1"/>
  <c r="K1150" i="1" s="1"/>
  <c r="L1155" i="1" a="1"/>
  <c r="L1155" i="1" s="1"/>
  <c r="K1155" i="1" a="1"/>
  <c r="K1155" i="1" s="1"/>
  <c r="L1154" i="1" a="1"/>
  <c r="L1154" i="1" s="1"/>
  <c r="K1153" i="1" a="1"/>
  <c r="K1153" i="1" s="1"/>
  <c r="L1162" i="1" a="1"/>
  <c r="L1162" i="1" s="1"/>
  <c r="K1162" i="1" a="1"/>
  <c r="K1162" i="1" s="1"/>
  <c r="L1156" i="1" a="1"/>
  <c r="L1156" i="1" s="1"/>
  <c r="J1156" i="1" a="1"/>
  <c r="J1156" i="1" s="1"/>
  <c r="J1153" i="1" a="1"/>
  <c r="J1153" i="1" s="1"/>
  <c r="K1163" i="1" a="1"/>
  <c r="K1163" i="1" s="1"/>
  <c r="J1155" i="1" a="1"/>
  <c r="J1155" i="1" s="1"/>
  <c r="J1154" i="1" a="1"/>
  <c r="J1154" i="1" s="1"/>
  <c r="L1153" i="1" a="1"/>
  <c r="L1153" i="1" s="1"/>
  <c r="J1163" i="1" a="1"/>
  <c r="J1163" i="1" s="1"/>
  <c r="J1162" i="1" a="1"/>
  <c r="J1162" i="1" s="1"/>
  <c r="L1150" i="1" a="1"/>
  <c r="L1150" i="1" s="1"/>
  <c r="K1156" i="1" a="1"/>
  <c r="K1156" i="1" s="1"/>
  <c r="K1143" i="1" a="1"/>
  <c r="K1143" i="1" s="1"/>
  <c r="L1148" i="1" a="1"/>
  <c r="L1148" i="1" s="1"/>
  <c r="K1148" i="1" a="1"/>
  <c r="K1148" i="1" s="1"/>
  <c r="L1146" i="1" a="1"/>
  <c r="L1146" i="1" s="1"/>
  <c r="J1145" i="1" a="1"/>
  <c r="J1145" i="1" s="1"/>
  <c r="J1148" i="1" a="1"/>
  <c r="J1148" i="1" s="1"/>
  <c r="L1143" i="1" a="1"/>
  <c r="L1143" i="1" s="1"/>
  <c r="K1147" i="1" a="1"/>
  <c r="K1147" i="1" s="1"/>
  <c r="J1143" i="1" a="1"/>
  <c r="J1143" i="1" s="1"/>
  <c r="L1145" i="1" a="1"/>
  <c r="L1145" i="1" s="1"/>
  <c r="K1145" i="1" a="1"/>
  <c r="K1145" i="1" s="1"/>
  <c r="L1144" i="1" a="1"/>
  <c r="L1144" i="1" s="1"/>
  <c r="K1144" i="1" a="1"/>
  <c r="K1144" i="1" s="1"/>
  <c r="J1147" i="1" a="1"/>
  <c r="J1147" i="1" s="1"/>
  <c r="J1150" i="1" a="1"/>
  <c r="J1150" i="1" s="1"/>
  <c r="L1147" i="1" a="1"/>
  <c r="L1147" i="1" s="1"/>
  <c r="K1149" i="1" a="1"/>
  <c r="K1149" i="1" s="1"/>
  <c r="K1142" i="1" a="1"/>
  <c r="K1142" i="1" s="1"/>
  <c r="J1142" i="1" a="1"/>
  <c r="J1142" i="1" s="1"/>
  <c r="L1141" i="1" a="1"/>
  <c r="L1141" i="1" s="1"/>
  <c r="K1146" i="1" a="1"/>
  <c r="K1146" i="1" s="1"/>
  <c r="L1142" i="1" a="1"/>
  <c r="L1142" i="1" s="1"/>
  <c r="L1149" i="1" a="1"/>
  <c r="L1149" i="1" s="1"/>
  <c r="J1144" i="1" a="1"/>
  <c r="J1144" i="1" s="1"/>
  <c r="J1149" i="1" a="1"/>
  <c r="J1149" i="1" s="1"/>
  <c r="J1146" i="1" a="1"/>
  <c r="J1146" i="1" s="1"/>
  <c r="K1138" i="1" a="1"/>
  <c r="K1138" i="1" s="1"/>
  <c r="J1140" i="1" a="1"/>
  <c r="J1140" i="1" s="1"/>
  <c r="L1139" i="1" a="1"/>
  <c r="L1139" i="1" s="1"/>
  <c r="J1138" i="1" a="1"/>
  <c r="J1138" i="1" s="1"/>
  <c r="K1141" i="1" a="1"/>
  <c r="K1141" i="1" s="1"/>
  <c r="L1138" i="1" a="1"/>
  <c r="L1138" i="1" s="1"/>
  <c r="J1141" i="1" a="1"/>
  <c r="J1141" i="1" s="1"/>
  <c r="L1140" i="1" a="1"/>
  <c r="L1140" i="1" s="1"/>
  <c r="K1140" i="1" a="1"/>
  <c r="K1140" i="1" s="1"/>
  <c r="J1139" i="1" a="1"/>
  <c r="J1139" i="1" s="1"/>
  <c r="K1139" i="1" a="1"/>
  <c r="K1139" i="1" s="1"/>
  <c r="L2140" i="1" a="1"/>
  <c r="L2140" i="1" s="1"/>
  <c r="L2137" i="1" a="1"/>
  <c r="L2137" i="1" s="1"/>
  <c r="K2138" i="1" a="1"/>
  <c r="K2138" i="1" s="1"/>
  <c r="L2136" i="1" a="1"/>
  <c r="L2136" i="1" s="1"/>
  <c r="K2136" i="1" a="1"/>
  <c r="K2136" i="1" s="1"/>
  <c r="L2141" i="1" a="1"/>
  <c r="L2141" i="1" s="1"/>
  <c r="J2141" i="1" a="1"/>
  <c r="J2141" i="1" s="1"/>
  <c r="K2140" i="1" a="1"/>
  <c r="K2140" i="1" s="1"/>
  <c r="J2140" i="1" a="1"/>
  <c r="J2140" i="1" s="1"/>
  <c r="L2139" i="1" a="1"/>
  <c r="L2139" i="1" s="1"/>
  <c r="J2136" i="1" a="1"/>
  <c r="J2136" i="1" s="1"/>
  <c r="K2141" i="1" a="1"/>
  <c r="K2141" i="1" s="1"/>
  <c r="J2139" i="1" a="1"/>
  <c r="J2139" i="1" s="1"/>
  <c r="J2142" i="1" a="1"/>
  <c r="J2142" i="1" s="1"/>
  <c r="K2137" i="1" a="1"/>
  <c r="K2137" i="1" s="1"/>
  <c r="J2138" i="1" a="1"/>
  <c r="J2138" i="1" s="1"/>
  <c r="K2139" i="1" a="1"/>
  <c r="K2139" i="1" s="1"/>
  <c r="J2143" i="1" a="1"/>
  <c r="J2143" i="1" s="1"/>
  <c r="L2143" i="1" a="1"/>
  <c r="L2143" i="1" s="1"/>
  <c r="K2143" i="1" a="1"/>
  <c r="K2143" i="1" s="1"/>
  <c r="L2142" i="1" a="1"/>
  <c r="L2142" i="1" s="1"/>
  <c r="K2142" i="1" a="1"/>
  <c r="K2142" i="1" s="1"/>
  <c r="L2138" i="1" a="1"/>
  <c r="L2138" i="1" s="1"/>
  <c r="J2137" i="1" a="1"/>
  <c r="J2137" i="1" s="1"/>
  <c r="J2129" i="1" a="1"/>
  <c r="J2129" i="1" s="1"/>
  <c r="J2128" i="1" a="1"/>
  <c r="J2128" i="1" s="1"/>
  <c r="L2130" i="1" a="1"/>
  <c r="L2130" i="1" s="1"/>
  <c r="J2134" i="1" a="1"/>
  <c r="J2134" i="1" s="1"/>
  <c r="K2130" i="1" a="1"/>
  <c r="K2130" i="1" s="1"/>
  <c r="J2130" i="1" a="1"/>
  <c r="J2130" i="1" s="1"/>
  <c r="K2131" i="1" a="1"/>
  <c r="K2131" i="1" s="1"/>
  <c r="L2131" i="1" a="1"/>
  <c r="L2131" i="1" s="1"/>
  <c r="L2127" i="1" a="1"/>
  <c r="L2127" i="1" s="1"/>
  <c r="K2132" i="1" a="1"/>
  <c r="K2132" i="1" s="1"/>
  <c r="K2134" i="1" a="1"/>
  <c r="K2134" i="1" s="1"/>
  <c r="J2132" i="1" a="1"/>
  <c r="J2132" i="1" s="1"/>
  <c r="K2128" i="1" a="1"/>
  <c r="K2128" i="1" s="1"/>
  <c r="L2135" i="1" a="1"/>
  <c r="L2135" i="1" s="1"/>
  <c r="K2135" i="1" a="1"/>
  <c r="K2135" i="1" s="1"/>
  <c r="L2128" i="1" a="1"/>
  <c r="L2128" i="1" s="1"/>
  <c r="K2133" i="1" a="1"/>
  <c r="K2133" i="1" s="1"/>
  <c r="K2129" i="1" a="1"/>
  <c r="K2129" i="1" s="1"/>
  <c r="L2129" i="1" a="1"/>
  <c r="L2129" i="1" s="1"/>
  <c r="J2127" i="1" a="1"/>
  <c r="J2127" i="1" s="1"/>
  <c r="J2135" i="1" a="1"/>
  <c r="J2135" i="1" s="1"/>
  <c r="J2131" i="1" a="1"/>
  <c r="J2131" i="1" s="1"/>
  <c r="L2134" i="1" a="1"/>
  <c r="L2134" i="1" s="1"/>
  <c r="L2133" i="1" a="1"/>
  <c r="L2133" i="1" s="1"/>
  <c r="J2133" i="1" a="1"/>
  <c r="J2133" i="1" s="1"/>
  <c r="L2132" i="1" a="1"/>
  <c r="L2132" i="1" s="1"/>
  <c r="K2127" i="1" a="1"/>
  <c r="K2127" i="1" s="1"/>
  <c r="K2121" i="1" a="1"/>
  <c r="K2121" i="1" s="1"/>
  <c r="K2118" i="1" a="1"/>
  <c r="K2118" i="1" s="1"/>
  <c r="L2119" i="1" a="1"/>
  <c r="L2119" i="1" s="1"/>
  <c r="L2126" i="1" a="1"/>
  <c r="L2126" i="1" s="1"/>
  <c r="L2123" i="1" a="1"/>
  <c r="L2123" i="1" s="1"/>
  <c r="J2125" i="1" a="1"/>
  <c r="J2125" i="1" s="1"/>
  <c r="K2122" i="1" a="1"/>
  <c r="K2122" i="1" s="1"/>
  <c r="J2122" i="1" a="1"/>
  <c r="J2122" i="1" s="1"/>
  <c r="L2124" i="1" a="1"/>
  <c r="L2124" i="1" s="1"/>
  <c r="L2125" i="1" a="1"/>
  <c r="L2125" i="1" s="1"/>
  <c r="L2117" i="1" a="1"/>
  <c r="L2117" i="1" s="1"/>
  <c r="K2124" i="1" a="1"/>
  <c r="K2124" i="1" s="1"/>
  <c r="K2120" i="1" a="1"/>
  <c r="K2120" i="1" s="1"/>
  <c r="K2125" i="1" a="1"/>
  <c r="K2125" i="1" s="1"/>
  <c r="J2123" i="1" a="1"/>
  <c r="J2123" i="1" s="1"/>
  <c r="J2124" i="1" a="1"/>
  <c r="J2124" i="1" s="1"/>
  <c r="L2122" i="1" a="1"/>
  <c r="L2122" i="1" s="1"/>
  <c r="L2118" i="1" a="1"/>
  <c r="L2118" i="1" s="1"/>
  <c r="L2121" i="1" a="1"/>
  <c r="L2121" i="1" s="1"/>
  <c r="J2121" i="1" a="1"/>
  <c r="J2121" i="1" s="1"/>
  <c r="L2120" i="1" a="1"/>
  <c r="L2120" i="1" s="1"/>
  <c r="J2120" i="1" a="1"/>
  <c r="J2120" i="1" s="1"/>
  <c r="J2118" i="1" a="1"/>
  <c r="J2118" i="1" s="1"/>
  <c r="K2126" i="1" a="1"/>
  <c r="K2126" i="1" s="1"/>
  <c r="J2126" i="1" a="1"/>
  <c r="J2126" i="1" s="1"/>
  <c r="K2123" i="1" a="1"/>
  <c r="K2123" i="1" s="1"/>
  <c r="J2119" i="1" a="1"/>
  <c r="J2119" i="1" s="1"/>
  <c r="K2119" i="1" a="1"/>
  <c r="K2119" i="1" s="1"/>
  <c r="K2117" i="1" a="1"/>
  <c r="K2117" i="1" s="1"/>
  <c r="J2117" i="1" a="1"/>
  <c r="J2117" i="1" s="1"/>
  <c r="J2115" i="1" a="1"/>
  <c r="J2115" i="1" s="1"/>
  <c r="L2116" i="1" a="1"/>
  <c r="L2116" i="1" s="1"/>
  <c r="K2116" i="1" a="1"/>
  <c r="K2116" i="1" s="1"/>
  <c r="J2116" i="1" a="1"/>
  <c r="J2116" i="1" s="1"/>
  <c r="L2115" i="1" a="1"/>
  <c r="L2115" i="1" s="1"/>
  <c r="K2115" i="1" a="1"/>
  <c r="K2115" i="1" s="1"/>
  <c r="K2016" i="1" a="1"/>
  <c r="K2016" i="1" s="1"/>
  <c r="K2017" i="1" s="1" a="1"/>
  <c r="K2017" i="1" s="1"/>
  <c r="K2015" i="1" a="1"/>
  <c r="K2015" i="1" s="1"/>
  <c r="L2013" i="1" a="1"/>
  <c r="L2013" i="1" s="1"/>
  <c r="L2014" i="1" s="1" a="1"/>
  <c r="L2014" i="1" s="1"/>
  <c r="L2021" i="1" a="1"/>
  <c r="L2021" i="1" s="1"/>
  <c r="K2021" i="1" a="1"/>
  <c r="K2021" i="1" s="1"/>
  <c r="K2013" i="1" a="1"/>
  <c r="K2013" i="1" s="1"/>
  <c r="K2014" i="1" s="1" a="1"/>
  <c r="K2014" i="1" s="1"/>
  <c r="L2016" i="1" a="1"/>
  <c r="L2016" i="1" s="1"/>
  <c r="K2020" i="1" a="1"/>
  <c r="K2020" i="1" s="1"/>
  <c r="J2016" i="1" a="1"/>
  <c r="J2016" i="1" s="1"/>
  <c r="J2017" i="1" s="1" a="1"/>
  <c r="J2017" i="1" s="1"/>
  <c r="K2018" i="1" a="1"/>
  <c r="K2018" i="1" s="1"/>
  <c r="K2019" i="1" s="1" a="1"/>
  <c r="K2019" i="1" s="1"/>
  <c r="J2018" i="1" a="1"/>
  <c r="J2018" i="1" s="1"/>
  <c r="J2019" i="1" s="1" a="1"/>
  <c r="J2019" i="1" s="1"/>
  <c r="J2015" i="1" a="1"/>
  <c r="J2015" i="1" s="1"/>
  <c r="J2021" i="1" a="1"/>
  <c r="J2021" i="1" s="1"/>
  <c r="J2013" i="1" a="1"/>
  <c r="J2013" i="1" s="1"/>
  <c r="J2014" i="1" s="1" a="1"/>
  <c r="J2014" i="1" s="1"/>
  <c r="L2017" i="1" a="1"/>
  <c r="L2017" i="1" s="1"/>
  <c r="L2020" i="1" a="1"/>
  <c r="L2020" i="1" s="1"/>
  <c r="J2020" i="1" a="1"/>
  <c r="J2020" i="1" s="1"/>
  <c r="L2015" i="1" a="1"/>
  <c r="L2015" i="1" s="1"/>
  <c r="L2018" i="1" a="1"/>
  <c r="L2018" i="1" s="1"/>
  <c r="L2019" i="1" s="1" a="1"/>
  <c r="L2019" i="1" s="1"/>
  <c r="L2011" i="1" a="1"/>
  <c r="L2011" i="1" s="1"/>
  <c r="L2005" i="1" a="1"/>
  <c r="L2005" i="1" s="1"/>
  <c r="K2008" i="1" a="1"/>
  <c r="K2008" i="1" s="1"/>
  <c r="K2009" i="1" s="1" a="1"/>
  <c r="K2009" i="1" s="1"/>
  <c r="L2006" i="1" a="1"/>
  <c r="L2006" i="1" s="1"/>
  <c r="L2007" i="1" s="1" a="1"/>
  <c r="L2007" i="1" s="1"/>
  <c r="J2006" i="1" a="1"/>
  <c r="J2006" i="1" s="1"/>
  <c r="J2007" i="1" s="1" a="1"/>
  <c r="J2007" i="1" s="1"/>
  <c r="J2005" i="1" a="1"/>
  <c r="J2005" i="1" s="1"/>
  <c r="J2010" i="1" a="1"/>
  <c r="J2010" i="1" s="1"/>
  <c r="K2006" i="1" a="1"/>
  <c r="K2006" i="1" s="1"/>
  <c r="K2007" i="1" s="1" a="1"/>
  <c r="K2007" i="1" s="1"/>
  <c r="K2011" i="1" a="1"/>
  <c r="K2011" i="1" s="1"/>
  <c r="J2011" i="1" a="1"/>
  <c r="J2011" i="1" s="1"/>
  <c r="L2008" i="1" a="1"/>
  <c r="L2008" i="1" s="1"/>
  <c r="L2009" i="1" s="1" a="1"/>
  <c r="L2009" i="1" s="1"/>
  <c r="J2008" i="1" a="1"/>
  <c r="J2008" i="1" s="1"/>
  <c r="J2009" i="1" s="1" a="1"/>
  <c r="J2009" i="1" s="1"/>
  <c r="K2005" i="1" a="1"/>
  <c r="K2005" i="1" s="1"/>
  <c r="K2010" i="1" a="1"/>
  <c r="K2010" i="1" s="1"/>
  <c r="L2010" i="1" a="1"/>
  <c r="L2010" i="1" s="1"/>
  <c r="L1999" i="1" a="1"/>
  <c r="L1999" i="1" s="1"/>
  <c r="K1999" i="1" a="1"/>
  <c r="K1999" i="1" s="1"/>
  <c r="L2001" i="1" a="1"/>
  <c r="L2001" i="1" s="1"/>
  <c r="J1999" i="1" a="1"/>
  <c r="J1999" i="1" s="1"/>
  <c r="K1998" i="1" a="1"/>
  <c r="K1998" i="1" s="1"/>
  <c r="K2001" i="1" a="1"/>
  <c r="K2001" i="1" s="1"/>
  <c r="J2001" i="1" a="1"/>
  <c r="J2001" i="1" s="1"/>
  <c r="L2000" i="1" a="1"/>
  <c r="L2000" i="1" s="1"/>
  <c r="L2003" i="1" a="1"/>
  <c r="L2003" i="1" s="1"/>
  <c r="L2004" i="1" s="1" a="1"/>
  <c r="L2004" i="1" s="1"/>
  <c r="J1998" i="1" a="1"/>
  <c r="J1998" i="1" s="1"/>
  <c r="K2003" i="1" a="1"/>
  <c r="K2003" i="1" s="1"/>
  <c r="K2004" i="1" s="1" a="1"/>
  <c r="K2004" i="1" s="1"/>
  <c r="L1998" i="1" a="1"/>
  <c r="L1998" i="1" s="1"/>
  <c r="J2003" i="1" a="1"/>
  <c r="J2003" i="1" s="1"/>
  <c r="J2004" i="1" s="1" a="1"/>
  <c r="J2004" i="1" s="1"/>
  <c r="J2000" i="1" a="1"/>
  <c r="J2000" i="1" s="1"/>
  <c r="K2000" i="1" a="1"/>
  <c r="K2000" i="1" s="1"/>
  <c r="L1991" i="1" a="1"/>
  <c r="L1991" i="1" s="1"/>
  <c r="L1993" i="1" a="1"/>
  <c r="L1993" i="1" s="1"/>
  <c r="L1996" i="1" a="1"/>
  <c r="L1996" i="1" s="1"/>
  <c r="J1996" i="1" a="1"/>
  <c r="J1996" i="1" s="1"/>
  <c r="J1993" i="1" a="1"/>
  <c r="J1993" i="1" s="1"/>
  <c r="L1995" i="1" a="1"/>
  <c r="L1995" i="1" s="1"/>
  <c r="K1994" i="1" a="1"/>
  <c r="K1994" i="1" s="1"/>
  <c r="K1991" i="1" a="1"/>
  <c r="K1991" i="1" s="1"/>
  <c r="K1992" i="1" a="1"/>
  <c r="K1992" i="1" s="1"/>
  <c r="J1992" i="1" a="1"/>
  <c r="J1992" i="1" s="1"/>
  <c r="J1995" i="1" a="1"/>
  <c r="J1995" i="1" s="1"/>
  <c r="K1995" i="1" a="1"/>
  <c r="K1995" i="1" s="1"/>
  <c r="J1991" i="1" a="1"/>
  <c r="J1991" i="1" s="1"/>
  <c r="J1994" i="1" a="1"/>
  <c r="J1994" i="1" s="1"/>
  <c r="L1997" i="1" a="1"/>
  <c r="L1997" i="1" s="1"/>
  <c r="K1997" i="1" a="1"/>
  <c r="K1997" i="1" s="1"/>
  <c r="K1996" i="1" a="1"/>
  <c r="K1996" i="1" s="1"/>
  <c r="J1997" i="1" a="1"/>
  <c r="J1997" i="1" s="1"/>
  <c r="J1990" i="1" a="1"/>
  <c r="J1990" i="1" s="1"/>
  <c r="L1992" i="1" a="1"/>
  <c r="L1992" i="1" s="1"/>
  <c r="K1990" i="1" a="1"/>
  <c r="K1990" i="1" s="1"/>
  <c r="L1994" i="1" a="1"/>
  <c r="L1994" i="1" s="1"/>
  <c r="K1993" i="1" a="1"/>
  <c r="K1993" i="1" s="1"/>
  <c r="L1990" i="1" a="1"/>
  <c r="L1990" i="1" s="1"/>
  <c r="K1983" i="1" a="1"/>
  <c r="K1983" i="1" s="1"/>
  <c r="J1982" i="1" a="1"/>
  <c r="J1982" i="1" s="1"/>
  <c r="J1987" i="1" a="1"/>
  <c r="J1987" i="1" s="1"/>
  <c r="K1982" i="1" a="1"/>
  <c r="K1982" i="1" s="1"/>
  <c r="L1987" i="1" a="1"/>
  <c r="L1987" i="1" s="1"/>
  <c r="J1985" i="1" a="1"/>
  <c r="J1985" i="1" s="1"/>
  <c r="K1986" i="1" a="1"/>
  <c r="K1986" i="1" s="1"/>
  <c r="K1984" i="1" a="1"/>
  <c r="K1984" i="1" s="1"/>
  <c r="J1984" i="1" a="1"/>
  <c r="J1984" i="1" s="1"/>
  <c r="L1989" i="1" a="1"/>
  <c r="L1989" i="1" s="1"/>
  <c r="L1983" i="1" a="1"/>
  <c r="L1983" i="1" s="1"/>
  <c r="K1989" i="1" a="1"/>
  <c r="K1989" i="1" s="1"/>
  <c r="L1986" i="1" a="1"/>
  <c r="L1986" i="1" s="1"/>
  <c r="J1989" i="1" a="1"/>
  <c r="J1989" i="1" s="1"/>
  <c r="J1986" i="1" a="1"/>
  <c r="J1986" i="1" s="1"/>
  <c r="L1982" i="1" a="1"/>
  <c r="L1982" i="1" s="1"/>
  <c r="L1988" i="1" a="1"/>
  <c r="L1988" i="1" s="1"/>
  <c r="L1984" i="1" a="1"/>
  <c r="L1984" i="1" s="1"/>
  <c r="K1988" i="1" a="1"/>
  <c r="K1988" i="1" s="1"/>
  <c r="L1985" i="1" a="1"/>
  <c r="L1985" i="1" s="1"/>
  <c r="J1988" i="1" a="1"/>
  <c r="J1988" i="1" s="1"/>
  <c r="K1985" i="1" a="1"/>
  <c r="K1985" i="1" s="1"/>
  <c r="J1983" i="1" a="1"/>
  <c r="J1983" i="1" s="1"/>
  <c r="K1987" i="1" a="1"/>
  <c r="K1987" i="1" s="1"/>
  <c r="J1976" i="1" a="1"/>
  <c r="J1976" i="1" s="1"/>
  <c r="L1979" i="1" a="1"/>
  <c r="L1979" i="1" s="1"/>
  <c r="L1977" i="1" a="1"/>
  <c r="L1977" i="1" s="1"/>
  <c r="L1981" i="1" a="1"/>
  <c r="L1981" i="1" s="1"/>
  <c r="K1981" i="1" a="1"/>
  <c r="K1981" i="1" s="1"/>
  <c r="J1981" i="1" a="1"/>
  <c r="J1981" i="1" s="1"/>
  <c r="K1977" i="1" a="1"/>
  <c r="K1977" i="1" s="1"/>
  <c r="K1980" i="1" a="1"/>
  <c r="K1980" i="1" s="1"/>
  <c r="J1977" i="1" a="1"/>
  <c r="J1977" i="1" s="1"/>
  <c r="L1976" i="1" a="1"/>
  <c r="L1976" i="1" s="1"/>
  <c r="J1975" i="1" a="1"/>
  <c r="J1975" i="1" s="1"/>
  <c r="L1980" i="1" a="1"/>
  <c r="L1980" i="1" s="1"/>
  <c r="J1979" i="1" a="1"/>
  <c r="J1979" i="1" s="1"/>
  <c r="L1975" i="1" a="1"/>
  <c r="L1975" i="1" s="1"/>
  <c r="J1980" i="1" a="1"/>
  <c r="J1980" i="1" s="1"/>
  <c r="K1976" i="1" a="1"/>
  <c r="K1976" i="1" s="1"/>
  <c r="K1979" i="1" a="1"/>
  <c r="K1979" i="1" s="1"/>
  <c r="K1975" i="1" a="1"/>
  <c r="K1975" i="1" s="1"/>
  <c r="J1972" i="1" a="1"/>
  <c r="J1972" i="1" s="1"/>
  <c r="L1971" i="1" a="1"/>
  <c r="L1971" i="1" s="1"/>
  <c r="L1968" i="1" a="1"/>
  <c r="L1968" i="1" s="1"/>
  <c r="K1970" i="1" a="1"/>
  <c r="K1970" i="1" s="1"/>
  <c r="J1970" i="1" a="1"/>
  <c r="J1970" i="1" s="1"/>
  <c r="L1970" i="1" a="1"/>
  <c r="L1970" i="1" s="1"/>
  <c r="J1971" i="1" a="1"/>
  <c r="J1971" i="1" s="1"/>
  <c r="K1972" i="1" a="1"/>
  <c r="K1972" i="1" s="1"/>
  <c r="L1972" i="1" a="1"/>
  <c r="L1972" i="1" s="1"/>
  <c r="L1967" i="1" a="1"/>
  <c r="L1967" i="1" s="1"/>
  <c r="J1968" i="1" a="1"/>
  <c r="J1968" i="1" s="1"/>
  <c r="L1974" i="1" a="1"/>
  <c r="L1974" i="1" s="1"/>
  <c r="K1974" i="1" a="1"/>
  <c r="K1974" i="1" s="1"/>
  <c r="J1974" i="1" a="1"/>
  <c r="J1974" i="1" s="1"/>
  <c r="L1973" i="1" a="1"/>
  <c r="L1973" i="1" s="1"/>
  <c r="J1973" i="1" a="1"/>
  <c r="J1973" i="1" s="1"/>
  <c r="L1969" i="1" a="1"/>
  <c r="L1969" i="1" s="1"/>
  <c r="K1969" i="1" a="1"/>
  <c r="K1969" i="1" s="1"/>
  <c r="K1971" i="1" a="1"/>
  <c r="K1971" i="1" s="1"/>
  <c r="K1973" i="1" a="1"/>
  <c r="K1973" i="1" s="1"/>
  <c r="K1968" i="1" a="1"/>
  <c r="K1968" i="1" s="1"/>
  <c r="J1969" i="1" a="1"/>
  <c r="J1969" i="1" s="1"/>
  <c r="L1964" i="1" a="1"/>
  <c r="L1964" i="1" s="1"/>
  <c r="K1964" i="1" a="1"/>
  <c r="K1964" i="1" s="1"/>
  <c r="J1964" i="1" a="1"/>
  <c r="J1964" i="1" s="1"/>
  <c r="K1962" i="1" a="1"/>
  <c r="K1962" i="1" s="1"/>
  <c r="K1963" i="1" a="1"/>
  <c r="K1963" i="1" s="1"/>
  <c r="L1961" i="1" a="1"/>
  <c r="L1961" i="1" s="1"/>
  <c r="L1965" i="1" a="1"/>
  <c r="L1965" i="1" s="1"/>
  <c r="L1966" i="1" a="1"/>
  <c r="L1966" i="1" s="1"/>
  <c r="K1966" i="1" a="1"/>
  <c r="K1966" i="1" s="1"/>
  <c r="J1966" i="1" a="1"/>
  <c r="J1966" i="1" s="1"/>
  <c r="J1965" i="1" a="1"/>
  <c r="J1965" i="1" s="1"/>
  <c r="L1963" i="1" a="1"/>
  <c r="L1963" i="1" s="1"/>
  <c r="J1963" i="1" a="1"/>
  <c r="J1963" i="1" s="1"/>
  <c r="K1961" i="1" a="1"/>
  <c r="K1961" i="1" s="1"/>
  <c r="L1962" i="1" a="1"/>
  <c r="L1962" i="1" s="1"/>
  <c r="K1967" i="1" a="1"/>
  <c r="K1967" i="1" s="1"/>
  <c r="J1962" i="1" a="1"/>
  <c r="J1962" i="1" s="1"/>
  <c r="J1967" i="1" a="1"/>
  <c r="J1967" i="1" s="1"/>
  <c r="K1965" i="1" a="1"/>
  <c r="K1965" i="1" s="1"/>
  <c r="J1960" i="1" a="1"/>
  <c r="J1960" i="1" s="1"/>
  <c r="K1958" i="1" a="1"/>
  <c r="K1958" i="1" s="1"/>
  <c r="L1958" i="1" a="1"/>
  <c r="L1958" i="1" s="1"/>
  <c r="J1958" i="1" a="1"/>
  <c r="J1958" i="1" s="1"/>
  <c r="K1959" i="1" a="1"/>
  <c r="K1959" i="1" s="1"/>
  <c r="J1959" i="1" a="1"/>
  <c r="J1959" i="1" s="1"/>
  <c r="K1960" i="1" a="1"/>
  <c r="K1960" i="1" s="1"/>
  <c r="J1961" i="1" a="1"/>
  <c r="J1961" i="1" s="1"/>
  <c r="L1959" i="1" a="1"/>
  <c r="L1959" i="1" s="1"/>
  <c r="L1960" i="1" a="1"/>
  <c r="L1960" i="1" s="1"/>
  <c r="L1956" i="1" a="1"/>
  <c r="L1956" i="1" s="1"/>
  <c r="K1955" i="1" a="1"/>
  <c r="K1955" i="1" s="1"/>
  <c r="J1955" i="1" a="1"/>
  <c r="J1955" i="1" s="1"/>
  <c r="L1951" i="1" a="1"/>
  <c r="L1951" i="1" s="1"/>
  <c r="K1952" i="1" a="1"/>
  <c r="K1952" i="1" s="1"/>
  <c r="L1953" i="1" a="1"/>
  <c r="L1953" i="1" s="1"/>
  <c r="J1957" i="1" a="1"/>
  <c r="J1957" i="1" s="1"/>
  <c r="J1951" i="1" a="1"/>
  <c r="J1951" i="1" s="1"/>
  <c r="L1957" i="1" a="1"/>
  <c r="L1957" i="1" s="1"/>
  <c r="J1956" i="1" a="1"/>
  <c r="J1956" i="1" s="1"/>
  <c r="L1955" i="1" a="1"/>
  <c r="L1955" i="1" s="1"/>
  <c r="K1953" i="1" a="1"/>
  <c r="K1953" i="1" s="1"/>
  <c r="L1952" i="1" a="1"/>
  <c r="L1952" i="1" s="1"/>
  <c r="J1952" i="1" a="1"/>
  <c r="J1952" i="1" s="1"/>
  <c r="K1951" i="1" a="1"/>
  <c r="K1951" i="1" s="1"/>
  <c r="J1953" i="1" a="1"/>
  <c r="J1953" i="1" s="1"/>
  <c r="K1957" i="1" a="1"/>
  <c r="K1957" i="1" s="1"/>
  <c r="K1956" i="1" a="1"/>
  <c r="K1956" i="1" s="1"/>
  <c r="K2227" i="1" a="1"/>
  <c r="K2227" i="1" s="1"/>
  <c r="K2228" i="1" s="1" a="1"/>
  <c r="K2228" i="1" s="1"/>
  <c r="L2227" i="1" a="1"/>
  <c r="L2227" i="1" s="1"/>
  <c r="L2228" i="1" s="1" a="1"/>
  <c r="L2228" i="1" s="1"/>
  <c r="K2232" i="1" a="1"/>
  <c r="K2232" i="1" s="1"/>
  <c r="J2227" i="1" a="1"/>
  <c r="J2227" i="1" s="1"/>
  <c r="J2228" i="1" s="1" a="1"/>
  <c r="J2228" i="1" s="1"/>
  <c r="J2232" i="1" a="1"/>
  <c r="J2232" i="1" s="1"/>
  <c r="L2229" i="1" a="1"/>
  <c r="L2229" i="1" s="1"/>
  <c r="L2230" i="1" s="1" a="1"/>
  <c r="L2230" i="1" s="1"/>
  <c r="K2229" i="1" a="1"/>
  <c r="K2229" i="1" s="1"/>
  <c r="K2230" i="1" s="1" a="1"/>
  <c r="K2230" i="1" s="1"/>
  <c r="K2231" i="1" a="1"/>
  <c r="K2231" i="1" s="1"/>
  <c r="L2232" i="1" a="1"/>
  <c r="L2232" i="1" s="1"/>
  <c r="J2231" i="1" a="1"/>
  <c r="J2231" i="1" s="1"/>
  <c r="J2229" i="1" a="1"/>
  <c r="J2229" i="1" s="1"/>
  <c r="J2230" i="1" s="1" a="1"/>
  <c r="J2230" i="1" s="1"/>
  <c r="L2231" i="1" a="1"/>
  <c r="L2231" i="1" s="1"/>
  <c r="J2219" i="1" a="1"/>
  <c r="J2219" i="1" s="1"/>
  <c r="J2220" i="1" s="1" a="1"/>
  <c r="J2220" i="1" s="1"/>
  <c r="K2221" i="1" a="1"/>
  <c r="K2221" i="1" s="1"/>
  <c r="L2217" i="1" a="1"/>
  <c r="L2217" i="1" s="1"/>
  <c r="L2218" i="1" s="1" a="1"/>
  <c r="L2218" i="1" s="1"/>
  <c r="K2226" i="1" a="1"/>
  <c r="K2226" i="1" s="1"/>
  <c r="K2219" i="1" a="1"/>
  <c r="K2219" i="1" s="1"/>
  <c r="K2220" i="1" s="1" a="1"/>
  <c r="K2220" i="1" s="1"/>
  <c r="K2224" i="1" a="1"/>
  <c r="K2224" i="1" s="1"/>
  <c r="K2225" i="1" s="1" a="1"/>
  <c r="K2225" i="1" s="1"/>
  <c r="J2224" i="1" a="1"/>
  <c r="J2224" i="1" s="1"/>
  <c r="J2225" i="1" s="1" a="1"/>
  <c r="J2225" i="1" s="1"/>
  <c r="K2222" i="1" a="1"/>
  <c r="K2222" i="1" s="1"/>
  <c r="L2224" i="1" a="1"/>
  <c r="L2224" i="1" s="1"/>
  <c r="L2225" i="1" s="1" a="1"/>
  <c r="L2225" i="1" s="1"/>
  <c r="J2217" i="1" a="1"/>
  <c r="J2217" i="1" s="1"/>
  <c r="J2218" i="1" s="1" a="1"/>
  <c r="J2218" i="1" s="1"/>
  <c r="L2221" i="1" a="1"/>
  <c r="L2221" i="1" s="1"/>
  <c r="L2222" i="1" a="1"/>
  <c r="L2222" i="1" s="1"/>
  <c r="L2226" i="1" a="1"/>
  <c r="L2226" i="1" s="1"/>
  <c r="J2226" i="1" a="1"/>
  <c r="J2226" i="1" s="1"/>
  <c r="J2222" i="1" a="1"/>
  <c r="J2222" i="1" s="1"/>
  <c r="J2221" i="1" a="1"/>
  <c r="J2221" i="1" s="1"/>
  <c r="L2219" i="1" a="1"/>
  <c r="L2219" i="1" s="1"/>
  <c r="L2220" i="1" s="1" a="1"/>
  <c r="L2220" i="1" s="1"/>
  <c r="K2217" i="1" a="1"/>
  <c r="K2217" i="1" s="1"/>
  <c r="K2218" i="1" s="1" a="1"/>
  <c r="K2218" i="1" s="1"/>
  <c r="L2210" i="1" a="1"/>
  <c r="L2210" i="1" s="1"/>
  <c r="L2212" i="1" a="1"/>
  <c r="L2212" i="1" s="1"/>
  <c r="K2211" i="1" a="1"/>
  <c r="K2211" i="1" s="1"/>
  <c r="J2214" i="1" a="1"/>
  <c r="J2214" i="1" s="1"/>
  <c r="J2215" i="1" s="1" a="1"/>
  <c r="J2215" i="1" s="1"/>
  <c r="J2211" i="1" a="1"/>
  <c r="J2211" i="1" s="1"/>
  <c r="J2212" i="1" a="1"/>
  <c r="J2212" i="1" s="1"/>
  <c r="K2214" i="1" a="1"/>
  <c r="K2214" i="1" s="1"/>
  <c r="K2215" i="1" s="1" a="1"/>
  <c r="K2215" i="1" s="1"/>
  <c r="K2212" i="1" a="1"/>
  <c r="K2212" i="1" s="1"/>
  <c r="L2216" i="1" a="1"/>
  <c r="L2216" i="1" s="1"/>
  <c r="J2216" i="1" a="1"/>
  <c r="J2216" i="1" s="1"/>
  <c r="K2216" i="1" a="1"/>
  <c r="K2216" i="1" s="1"/>
  <c r="L2214" i="1" a="1"/>
  <c r="L2214" i="1" s="1"/>
  <c r="L2215" i="1" s="1" a="1"/>
  <c r="L2215" i="1" s="1"/>
  <c r="L2211" i="1" a="1"/>
  <c r="L2211" i="1" s="1"/>
  <c r="K2210" i="1" a="1"/>
  <c r="K2210" i="1" s="1"/>
  <c r="J2209" i="1" a="1"/>
  <c r="J2209" i="1" s="1"/>
  <c r="J2210" i="1" a="1"/>
  <c r="J2210" i="1" s="1"/>
  <c r="K2209" i="1" a="1"/>
  <c r="K2209" i="1" s="1"/>
  <c r="L2209" i="1" a="1"/>
  <c r="L2209" i="1" s="1"/>
  <c r="K2208" i="1" a="1"/>
  <c r="K2208" i="1" s="1"/>
  <c r="L2208" i="1" a="1"/>
  <c r="L2208" i="1" s="1"/>
  <c r="J2205" i="1" a="1"/>
  <c r="J2205" i="1" s="1"/>
  <c r="L2203" i="1" a="1"/>
  <c r="L2203" i="1" s="1"/>
  <c r="L2202" i="1" a="1"/>
  <c r="L2202" i="1" s="1"/>
  <c r="J2206" i="1" a="1"/>
  <c r="J2206" i="1" s="1"/>
  <c r="L2207" i="1" a="1"/>
  <c r="L2207" i="1" s="1"/>
  <c r="J2204" i="1" a="1"/>
  <c r="J2204" i="1" s="1"/>
  <c r="K2207" i="1" a="1"/>
  <c r="K2207" i="1" s="1"/>
  <c r="K2203" i="1" a="1"/>
  <c r="K2203" i="1" s="1"/>
  <c r="J2207" i="1" a="1"/>
  <c r="J2207" i="1" s="1"/>
  <c r="K2205" i="1" a="1"/>
  <c r="K2205" i="1" s="1"/>
  <c r="K2202" i="1" a="1"/>
  <c r="K2202" i="1" s="1"/>
  <c r="L2204" i="1" a="1"/>
  <c r="L2204" i="1" s="1"/>
  <c r="K2204" i="1" a="1"/>
  <c r="K2204" i="1" s="1"/>
  <c r="J2202" i="1" a="1"/>
  <c r="J2202" i="1" s="1"/>
  <c r="L2205" i="1" a="1"/>
  <c r="L2205" i="1" s="1"/>
  <c r="J2208" i="1" a="1"/>
  <c r="J2208" i="1" s="1"/>
  <c r="K2206" i="1" a="1"/>
  <c r="K2206" i="1" s="1"/>
  <c r="L2206" i="1" a="1"/>
  <c r="L2206" i="1" s="1"/>
  <c r="J2203" i="1" a="1"/>
  <c r="J2203" i="1" s="1"/>
  <c r="K2198" i="1" a="1"/>
  <c r="K2198" i="1" s="1"/>
  <c r="J2197" i="1" a="1"/>
  <c r="J2197" i="1" s="1"/>
  <c r="J2198" i="1" a="1"/>
  <c r="J2198" i="1" s="1"/>
  <c r="L2197" i="1" a="1"/>
  <c r="L2197" i="1" s="1"/>
  <c r="J2201" i="1" a="1"/>
  <c r="J2201" i="1" s="1"/>
  <c r="J2200" i="1" a="1"/>
  <c r="J2200" i="1" s="1"/>
  <c r="K2197" i="1" a="1"/>
  <c r="K2197" i="1" s="1"/>
  <c r="L2201" i="1" a="1"/>
  <c r="L2201" i="1" s="1"/>
  <c r="K2201" i="1" a="1"/>
  <c r="K2201" i="1" s="1"/>
  <c r="L2199" i="1" a="1"/>
  <c r="L2199" i="1" s="1"/>
  <c r="K2196" i="1" a="1"/>
  <c r="K2196" i="1" s="1"/>
  <c r="J2196" i="1" a="1"/>
  <c r="J2196" i="1" s="1"/>
  <c r="L2198" i="1" a="1"/>
  <c r="L2198" i="1" s="1"/>
  <c r="L2200" i="1" a="1"/>
  <c r="L2200" i="1" s="1"/>
  <c r="K2200" i="1" a="1"/>
  <c r="K2200" i="1" s="1"/>
  <c r="K2199" i="1" a="1"/>
  <c r="K2199" i="1" s="1"/>
  <c r="J2199" i="1" a="1"/>
  <c r="J2199" i="1" s="1"/>
  <c r="L2196" i="1" a="1"/>
  <c r="L2196" i="1" s="1"/>
  <c r="K2188" i="1" a="1"/>
  <c r="K2188" i="1" s="1"/>
  <c r="K2190" i="1" a="1"/>
  <c r="K2190" i="1" s="1"/>
  <c r="L2188" i="1" a="1"/>
  <c r="L2188" i="1" s="1"/>
  <c r="J2188" i="1" a="1"/>
  <c r="J2188" i="1" s="1"/>
  <c r="L2195" i="1" a="1"/>
  <c r="L2195" i="1" s="1"/>
  <c r="K2195" i="1" a="1"/>
  <c r="K2195" i="1" s="1"/>
  <c r="J2195" i="1" a="1"/>
  <c r="J2195" i="1" s="1"/>
  <c r="J2194" i="1" a="1"/>
  <c r="J2194" i="1" s="1"/>
  <c r="J2191" i="1" a="1"/>
  <c r="J2191" i="1" s="1"/>
  <c r="L2194" i="1" a="1"/>
  <c r="L2194" i="1" s="1"/>
  <c r="J2192" i="1" a="1"/>
  <c r="J2192" i="1" s="1"/>
  <c r="K2194" i="1" a="1"/>
  <c r="K2194" i="1" s="1"/>
  <c r="K2192" i="1" a="1"/>
  <c r="K2192" i="1" s="1"/>
  <c r="L2193" i="1" a="1"/>
  <c r="L2193" i="1" s="1"/>
  <c r="K2191" i="1" a="1"/>
  <c r="K2191" i="1" s="1"/>
  <c r="K2193" i="1" a="1"/>
  <c r="K2193" i="1" s="1"/>
  <c r="J2193" i="1" a="1"/>
  <c r="J2193" i="1" s="1"/>
  <c r="J2190" i="1" a="1"/>
  <c r="J2190" i="1" s="1"/>
  <c r="L2192" i="1" a="1"/>
  <c r="L2192" i="1" s="1"/>
  <c r="L2191" i="1" a="1"/>
  <c r="L2191" i="1" s="1"/>
  <c r="L2190" i="1" a="1"/>
  <c r="L2190" i="1" s="1"/>
  <c r="K2185" i="1" a="1"/>
  <c r="K2185" i="1" s="1"/>
  <c r="J2185" i="1" a="1"/>
  <c r="J2185" i="1" s="1"/>
  <c r="L2186" i="1" a="1"/>
  <c r="L2186" i="1" s="1"/>
  <c r="K2186" i="1" a="1"/>
  <c r="K2186" i="1" s="1"/>
  <c r="J2186" i="1" a="1"/>
  <c r="J2186" i="1" s="1"/>
  <c r="L2185" i="1" a="1"/>
  <c r="L2185" i="1" s="1"/>
  <c r="K2184" i="1" a="1"/>
  <c r="K2184" i="1" s="1"/>
  <c r="L2184" i="1" a="1"/>
  <c r="L2184" i="1" s="1"/>
  <c r="J2184" i="1" a="1"/>
  <c r="J2184" i="1" s="1"/>
  <c r="L2187" i="1" a="1"/>
  <c r="L2187" i="1" s="1"/>
  <c r="K2187" i="1" a="1"/>
  <c r="K2187" i="1" s="1"/>
  <c r="J2187" i="1" a="1"/>
  <c r="J2187" i="1" s="1"/>
  <c r="K2179" i="1" a="1"/>
  <c r="K2179" i="1" s="1"/>
  <c r="L2177" i="1" a="1"/>
  <c r="L2177" i="1" s="1"/>
  <c r="K2177" i="1" a="1"/>
  <c r="K2177" i="1" s="1"/>
  <c r="K2181" i="1" a="1"/>
  <c r="K2181" i="1" s="1"/>
  <c r="J2181" i="1" a="1"/>
  <c r="J2181" i="1" s="1"/>
  <c r="L2180" i="1" a="1"/>
  <c r="L2180" i="1" s="1"/>
  <c r="L2178" i="1" a="1"/>
  <c r="L2178" i="1" s="1"/>
  <c r="J2177" i="1" a="1"/>
  <c r="J2177" i="1" s="1"/>
  <c r="J2183" i="1" a="1"/>
  <c r="J2183" i="1" s="1"/>
  <c r="J2179" i="1" a="1"/>
  <c r="J2179" i="1" s="1"/>
  <c r="K2178" i="1" a="1"/>
  <c r="K2178" i="1" s="1"/>
  <c r="L2182" i="1" a="1"/>
  <c r="L2182" i="1" s="1"/>
  <c r="K2182" i="1" a="1"/>
  <c r="K2182" i="1" s="1"/>
  <c r="J2182" i="1" a="1"/>
  <c r="J2182" i="1" s="1"/>
  <c r="L2183" i="1" a="1"/>
  <c r="L2183" i="1" s="1"/>
  <c r="K2183" i="1" a="1"/>
  <c r="K2183" i="1" s="1"/>
  <c r="L2181" i="1" a="1"/>
  <c r="L2181" i="1" s="1"/>
  <c r="J2178" i="1" a="1"/>
  <c r="J2178" i="1" s="1"/>
  <c r="K2180" i="1" a="1"/>
  <c r="K2180" i="1" s="1"/>
  <c r="L2179" i="1" a="1"/>
  <c r="L2179" i="1" s="1"/>
  <c r="J2180" i="1" a="1"/>
  <c r="J2180" i="1" s="1"/>
  <c r="K2175" i="1" a="1"/>
  <c r="K2175" i="1" s="1"/>
  <c r="J2174" i="1" a="1"/>
  <c r="J2174" i="1" s="1"/>
  <c r="K2170" i="1" a="1"/>
  <c r="K2170" i="1" s="1"/>
  <c r="K2172" i="1" a="1"/>
  <c r="K2172" i="1" s="1"/>
  <c r="L2170" i="1" a="1"/>
  <c r="L2170" i="1" s="1"/>
  <c r="L2174" i="1" a="1"/>
  <c r="L2174" i="1" s="1"/>
  <c r="L2173" i="1" a="1"/>
  <c r="L2173" i="1" s="1"/>
  <c r="J2172" i="1" a="1"/>
  <c r="J2172" i="1" s="1"/>
  <c r="L2171" i="1" a="1"/>
  <c r="L2171" i="1" s="1"/>
  <c r="J2173" i="1" a="1"/>
  <c r="J2173" i="1" s="1"/>
  <c r="L2176" i="1" a="1"/>
  <c r="L2176" i="1" s="1"/>
  <c r="K2171" i="1" a="1"/>
  <c r="K2171" i="1" s="1"/>
  <c r="J2171" i="1" a="1"/>
  <c r="J2171" i="1" s="1"/>
  <c r="K2176" i="1" a="1"/>
  <c r="K2176" i="1" s="1"/>
  <c r="J2176" i="1" a="1"/>
  <c r="J2176" i="1" s="1"/>
  <c r="K2173" i="1" a="1"/>
  <c r="K2173" i="1" s="1"/>
  <c r="L2172" i="1" a="1"/>
  <c r="L2172" i="1" s="1"/>
  <c r="L2175" i="1" a="1"/>
  <c r="L2175" i="1" s="1"/>
  <c r="J2175" i="1" a="1"/>
  <c r="J2175" i="1" s="1"/>
  <c r="K2174" i="1" a="1"/>
  <c r="K2174" i="1" s="1"/>
  <c r="L2161" i="1" a="1"/>
  <c r="L2161" i="1" s="1"/>
  <c r="K2169" i="1" a="1"/>
  <c r="K2169" i="1" s="1"/>
  <c r="J2168" i="1" a="1"/>
  <c r="J2168" i="1" s="1"/>
  <c r="K2167" i="1" a="1"/>
  <c r="K2167" i="1" s="1"/>
  <c r="L2162" i="1" a="1"/>
  <c r="L2162" i="1" s="1"/>
  <c r="K2163" i="1" a="1"/>
  <c r="K2163" i="1" s="1"/>
  <c r="L2166" i="1" a="1"/>
  <c r="L2166" i="1" s="1"/>
  <c r="K2164" i="1" a="1"/>
  <c r="K2164" i="1" s="1"/>
  <c r="J2162" i="1" a="1"/>
  <c r="J2162" i="1" s="1"/>
  <c r="L2163" i="1" a="1"/>
  <c r="L2163" i="1" s="1"/>
  <c r="J2163" i="1" a="1"/>
  <c r="J2163" i="1" s="1"/>
  <c r="K2161" i="1" a="1"/>
  <c r="K2161" i="1" s="1"/>
  <c r="K2166" i="1" a="1"/>
  <c r="K2166" i="1" s="1"/>
  <c r="L2167" i="1" a="1"/>
  <c r="L2167" i="1" s="1"/>
  <c r="J2161" i="1" a="1"/>
  <c r="J2161" i="1" s="1"/>
  <c r="J2169" i="1" a="1"/>
  <c r="J2169" i="1" s="1"/>
  <c r="L2164" i="1" a="1"/>
  <c r="L2164" i="1" s="1"/>
  <c r="J2164" i="1" a="1"/>
  <c r="J2164" i="1" s="1"/>
  <c r="L2168" i="1" a="1"/>
  <c r="L2168" i="1" s="1"/>
  <c r="J2167" i="1" a="1"/>
  <c r="J2167" i="1" s="1"/>
  <c r="K2162" i="1" a="1"/>
  <c r="K2162" i="1" s="1"/>
  <c r="J2166" i="1" a="1"/>
  <c r="J2166" i="1" s="1"/>
  <c r="J2170" i="1" a="1"/>
  <c r="J2170" i="1" s="1"/>
  <c r="L2169" i="1" a="1"/>
  <c r="L2169" i="1" s="1"/>
  <c r="K2168" i="1" a="1"/>
  <c r="K2168" i="1" s="1"/>
  <c r="J2156" i="1" a="1"/>
  <c r="J2156" i="1" s="1"/>
  <c r="J2153" i="1" a="1"/>
  <c r="J2153" i="1" s="1"/>
  <c r="L2154" i="1" a="1"/>
  <c r="L2154" i="1" s="1"/>
  <c r="K2158" i="1" a="1"/>
  <c r="K2158" i="1" s="1"/>
  <c r="L2157" i="1" a="1"/>
  <c r="L2157" i="1" s="1"/>
  <c r="J2157" i="1" a="1"/>
  <c r="J2157" i="1" s="1"/>
  <c r="L2152" i="1" a="1"/>
  <c r="L2152" i="1" s="1"/>
  <c r="J2154" i="1" a="1"/>
  <c r="J2154" i="1" s="1"/>
  <c r="L2155" i="1" a="1"/>
  <c r="L2155" i="1" s="1"/>
  <c r="K2155" i="1" a="1"/>
  <c r="K2155" i="1" s="1"/>
  <c r="K2154" i="1" a="1"/>
  <c r="K2154" i="1" s="1"/>
  <c r="K2153" i="1" a="1"/>
  <c r="K2153" i="1" s="1"/>
  <c r="K2152" i="1" a="1"/>
  <c r="K2152" i="1" s="1"/>
  <c r="J2160" i="1" a="1"/>
  <c r="J2160" i="1" s="1"/>
  <c r="J2159" i="1" a="1"/>
  <c r="J2159" i="1" s="1"/>
  <c r="K2157" i="1" a="1"/>
  <c r="K2157" i="1" s="1"/>
  <c r="K2156" i="1" a="1"/>
  <c r="K2156" i="1" s="1"/>
  <c r="L2153" i="1" a="1"/>
  <c r="L2153" i="1" s="1"/>
  <c r="L2159" i="1" a="1"/>
  <c r="L2159" i="1" s="1"/>
  <c r="J2155" i="1" a="1"/>
  <c r="J2155" i="1" s="1"/>
  <c r="J2152" i="1" a="1"/>
  <c r="J2152" i="1" s="1"/>
  <c r="L2160" i="1" a="1"/>
  <c r="L2160" i="1" s="1"/>
  <c r="L2156" i="1" a="1"/>
  <c r="L2156" i="1" s="1"/>
  <c r="K2160" i="1" a="1"/>
  <c r="K2160" i="1" s="1"/>
  <c r="J2158" i="1" a="1"/>
  <c r="J2158" i="1" s="1"/>
  <c r="K2159" i="1" a="1"/>
  <c r="K2159" i="1" s="1"/>
  <c r="L2158" i="1" a="1"/>
  <c r="L2158" i="1" s="1"/>
  <c r="K2148" i="1" a="1"/>
  <c r="K2148" i="1" s="1"/>
  <c r="K2147" i="1" a="1"/>
  <c r="K2147" i="1" s="1"/>
  <c r="K2144" i="1" a="1"/>
  <c r="K2144" i="1" s="1"/>
  <c r="J2144" i="1" a="1"/>
  <c r="J2144" i="1" s="1"/>
  <c r="J2147" i="1" a="1"/>
  <c r="J2147" i="1" s="1"/>
  <c r="L2150" i="1" a="1"/>
  <c r="L2150" i="1" s="1"/>
  <c r="L2149" i="1" a="1"/>
  <c r="L2149" i="1" s="1"/>
  <c r="L2145" i="1" a="1"/>
  <c r="L2145" i="1" s="1"/>
  <c r="J2145" i="1" a="1"/>
  <c r="J2145" i="1" s="1"/>
  <c r="L2151" i="1" a="1"/>
  <c r="L2151" i="1" s="1"/>
  <c r="K2151" i="1" a="1"/>
  <c r="K2151" i="1" s="1"/>
  <c r="J2151" i="1" a="1"/>
  <c r="J2151" i="1" s="1"/>
  <c r="K2150" i="1" a="1"/>
  <c r="K2150" i="1" s="1"/>
  <c r="L2146" i="1" a="1"/>
  <c r="L2146" i="1" s="1"/>
  <c r="J2150" i="1" a="1"/>
  <c r="J2150" i="1" s="1"/>
  <c r="J2149" i="1" a="1"/>
  <c r="J2149" i="1" s="1"/>
  <c r="L2144" i="1" a="1"/>
  <c r="L2144" i="1" s="1"/>
  <c r="L2148" i="1" a="1"/>
  <c r="L2148" i="1" s="1"/>
  <c r="L2147" i="1" a="1"/>
  <c r="L2147" i="1" s="1"/>
  <c r="K2149" i="1" a="1"/>
  <c r="K2149" i="1" s="1"/>
  <c r="J2148" i="1" a="1"/>
  <c r="J2148" i="1" s="1"/>
  <c r="J2146" i="1" a="1"/>
  <c r="J2146" i="1" s="1"/>
  <c r="K2146" i="1" a="1"/>
  <c r="K2146" i="1" s="1"/>
  <c r="K2145" i="1" a="1"/>
  <c r="K2145" i="1" s="1"/>
  <c r="J1519" i="1" a="1"/>
  <c r="J1519" i="1" s="1"/>
  <c r="J1517" i="1" a="1"/>
  <c r="J1517" i="1" s="1"/>
  <c r="J1515" i="1" a="1"/>
  <c r="J1515" i="1" s="1"/>
  <c r="L1514" i="1" a="1"/>
  <c r="L1514" i="1" s="1"/>
  <c r="J1520" i="1" a="1"/>
  <c r="J1520" i="1" s="1"/>
  <c r="L1517" i="1" a="1"/>
  <c r="L1517" i="1" s="1"/>
  <c r="J1514" i="1" a="1"/>
  <c r="J1514" i="1" s="1"/>
  <c r="K1516" i="1" a="1"/>
  <c r="K1516" i="1" s="1"/>
  <c r="K1514" i="1" a="1"/>
  <c r="K1514" i="1" s="1"/>
  <c r="L1513" i="1" a="1"/>
  <c r="L1513" i="1" s="1"/>
  <c r="J1513" i="1" a="1"/>
  <c r="J1513" i="1" s="1"/>
  <c r="K1520" i="1" a="1"/>
  <c r="K1520" i="1" s="1"/>
  <c r="K1519" i="1" a="1"/>
  <c r="K1519" i="1" s="1"/>
  <c r="J1516" i="1" a="1"/>
  <c r="J1516" i="1" s="1"/>
  <c r="K1517" i="1" a="1"/>
  <c r="K1517" i="1" s="1"/>
  <c r="L1515" i="1" a="1"/>
  <c r="L1515" i="1" s="1"/>
  <c r="L1519" i="1" a="1"/>
  <c r="L1519" i="1" s="1"/>
  <c r="L1516" i="1" a="1"/>
  <c r="L1516" i="1" s="1"/>
  <c r="K1515" i="1" a="1"/>
  <c r="K1515" i="1" s="1"/>
  <c r="L1520" i="1" a="1"/>
  <c r="L1520" i="1" s="1"/>
  <c r="K1513" i="1" a="1"/>
  <c r="K1513" i="1" s="1"/>
  <c r="L1505" i="1" a="1"/>
  <c r="L1505" i="1" s="1"/>
  <c r="K1505" i="1" a="1"/>
  <c r="K1505" i="1" s="1"/>
  <c r="K1504" i="1" a="1"/>
  <c r="K1504" i="1" s="1"/>
  <c r="L1504" i="1" a="1"/>
  <c r="L1504" i="1" s="1"/>
  <c r="K1507" i="1" a="1"/>
  <c r="K1507" i="1" s="1"/>
  <c r="J1502" i="1" a="1"/>
  <c r="J1502" i="1" s="1"/>
  <c r="J1505" i="1" a="1"/>
  <c r="J1505" i="1" s="1"/>
  <c r="L1502" i="1" a="1"/>
  <c r="L1502" i="1" s="1"/>
  <c r="K1501" i="1" a="1"/>
  <c r="K1501" i="1" s="1"/>
  <c r="J1501" i="1" a="1"/>
  <c r="J1501" i="1" s="1"/>
  <c r="L1501" i="1" a="1"/>
  <c r="L1501" i="1" s="1"/>
  <c r="L1507" i="1" a="1"/>
  <c r="L1507" i="1" s="1"/>
  <c r="K1502" i="1" a="1"/>
  <c r="K1502" i="1" s="1"/>
  <c r="J1504" i="1" a="1"/>
  <c r="J1504" i="1" s="1"/>
  <c r="L1506" i="1" a="1"/>
  <c r="L1506" i="1" s="1"/>
  <c r="J1507" i="1" a="1"/>
  <c r="J1507" i="1" s="1"/>
  <c r="J1506" i="1" a="1"/>
  <c r="J1506" i="1" s="1"/>
  <c r="K1506" i="1" a="1"/>
  <c r="K1506" i="1" s="1"/>
  <c r="L1500" i="1" a="1"/>
  <c r="L1500" i="1" s="1"/>
  <c r="L1499" i="1" a="1"/>
  <c r="L1499" i="1" s="1"/>
  <c r="J1500" i="1" a="1"/>
  <c r="J1500" i="1" s="1"/>
  <c r="L1487" i="1" a="1"/>
  <c r="L1487" i="1" s="1"/>
  <c r="K1500" i="1" a="1"/>
  <c r="K1500" i="1" s="1"/>
  <c r="L1485" i="1" a="1"/>
  <c r="L1485" i="1" s="1"/>
  <c r="K1499" i="1" a="1"/>
  <c r="K1499" i="1" s="1"/>
  <c r="J1499" i="1" a="1"/>
  <c r="J1499" i="1" s="1"/>
  <c r="K1494" i="1" a="1"/>
  <c r="K1494" i="1" s="1"/>
  <c r="L1492" i="1" a="1"/>
  <c r="L1492" i="1" s="1"/>
  <c r="K1492" i="1" a="1"/>
  <c r="K1492" i="1" s="1"/>
  <c r="K1487" i="1" a="1"/>
  <c r="K1487" i="1" s="1"/>
  <c r="J1494" i="1" a="1"/>
  <c r="J1494" i="1" s="1"/>
  <c r="L1494" i="1" a="1"/>
  <c r="L1494" i="1" s="1"/>
  <c r="J1487" i="1" a="1"/>
  <c r="J1487" i="1" s="1"/>
  <c r="J1492" i="1" a="1"/>
  <c r="J1492" i="1" s="1"/>
  <c r="K1676" i="1" a="1"/>
  <c r="K1676" i="1" s="1"/>
  <c r="L1672" i="1" a="1"/>
  <c r="L1672" i="1" s="1"/>
  <c r="K1671" i="1" a="1"/>
  <c r="K1671" i="1" s="1"/>
  <c r="K1673" i="1" a="1"/>
  <c r="K1673" i="1" s="1"/>
  <c r="L1669" i="1" a="1"/>
  <c r="L1669" i="1" s="1"/>
  <c r="J1672" i="1" a="1"/>
  <c r="J1672" i="1" s="1"/>
  <c r="K1669" i="1" a="1"/>
  <c r="K1669" i="1" s="1"/>
  <c r="J1676" i="1" a="1"/>
  <c r="J1676" i="1" s="1"/>
  <c r="L1675" i="1" a="1"/>
  <c r="L1675" i="1" s="1"/>
  <c r="K1674" i="1" a="1"/>
  <c r="K1674" i="1" s="1"/>
  <c r="L1674" i="1" a="1"/>
  <c r="L1674" i="1" s="1"/>
  <c r="L1670" i="1" a="1"/>
  <c r="L1670" i="1" s="1"/>
  <c r="J1669" i="1" a="1"/>
  <c r="J1669" i="1" s="1"/>
  <c r="J1675" i="1" a="1"/>
  <c r="J1675" i="1" s="1"/>
  <c r="K1670" i="1" a="1"/>
  <c r="K1670" i="1" s="1"/>
  <c r="L1671" i="1" a="1"/>
  <c r="L1671" i="1" s="1"/>
  <c r="J1670" i="1" a="1"/>
  <c r="J1670" i="1" s="1"/>
  <c r="K1675" i="1" a="1"/>
  <c r="K1675" i="1" s="1"/>
  <c r="K1672" i="1" a="1"/>
  <c r="K1672" i="1" s="1"/>
  <c r="J1671" i="1" a="1"/>
  <c r="J1671" i="1" s="1"/>
  <c r="J1674" i="1" a="1"/>
  <c r="J1674" i="1" s="1"/>
  <c r="J1673" i="1" a="1"/>
  <c r="J1673" i="1" s="1"/>
  <c r="L1676" i="1" a="1"/>
  <c r="L1676" i="1" s="1"/>
  <c r="L1673" i="1" a="1"/>
  <c r="L1673" i="1" s="1"/>
  <c r="J1668" i="1" a="1"/>
  <c r="J1668" i="1" s="1"/>
  <c r="K1667" i="1" a="1"/>
  <c r="K1667" i="1" s="1"/>
  <c r="L1662" i="1" a="1"/>
  <c r="L1662" i="1" s="1"/>
  <c r="J1667" i="1" a="1"/>
  <c r="J1667" i="1" s="1"/>
  <c r="J1661" i="1" a="1"/>
  <c r="J1661" i="1" s="1"/>
  <c r="K1660" i="1" a="1"/>
  <c r="K1660" i="1" s="1"/>
  <c r="J1660" i="1" a="1"/>
  <c r="J1660" i="1" s="1"/>
  <c r="K1662" i="1" a="1"/>
  <c r="K1662" i="1" s="1"/>
  <c r="L1654" i="1" a="1"/>
  <c r="L1654" i="1" s="1"/>
  <c r="K1661" i="1" a="1"/>
  <c r="K1661" i="1" s="1"/>
  <c r="L1668" i="1" a="1"/>
  <c r="L1668" i="1" s="1"/>
  <c r="J1654" i="1" a="1"/>
  <c r="J1654" i="1" s="1"/>
  <c r="L1667" i="1" a="1"/>
  <c r="L1667" i="1" s="1"/>
  <c r="L1660" i="1" a="1"/>
  <c r="L1660" i="1" s="1"/>
  <c r="K1668" i="1" a="1"/>
  <c r="K1668" i="1" s="1"/>
  <c r="J1662" i="1" a="1"/>
  <c r="J1662" i="1" s="1"/>
  <c r="K1654" i="1" a="1"/>
  <c r="K1654" i="1" s="1"/>
  <c r="L1661" i="1" a="1"/>
  <c r="L1661" i="1" s="1"/>
  <c r="J1647" i="1" a="1"/>
  <c r="J1647" i="1" s="1"/>
  <c r="J1646" i="1" a="1"/>
  <c r="J1646" i="1" s="1"/>
  <c r="K1643" i="1" a="1"/>
  <c r="K1643" i="1" s="1"/>
  <c r="L1647" i="1" a="1"/>
  <c r="L1647" i="1" s="1"/>
  <c r="J1643" i="1" a="1"/>
  <c r="J1643" i="1" s="1"/>
  <c r="L1643" i="1" a="1"/>
  <c r="L1643" i="1" s="1"/>
  <c r="K1647" i="1" a="1"/>
  <c r="K1647" i="1" s="1"/>
  <c r="L1646" i="1" a="1"/>
  <c r="L1646" i="1" s="1"/>
  <c r="K1646" i="1" a="1"/>
  <c r="K1646" i="1" s="1"/>
  <c r="K1626" i="1" a="1"/>
  <c r="K1626" i="1" s="1"/>
  <c r="L1628" i="1" a="1"/>
  <c r="L1628" i="1" s="1"/>
  <c r="K1642" i="1" a="1"/>
  <c r="K1642" i="1" s="1"/>
  <c r="J1642" i="1" a="1"/>
  <c r="J1642" i="1" s="1"/>
  <c r="K1629" i="1" a="1"/>
  <c r="K1629" i="1" s="1"/>
  <c r="J1629" i="1" a="1"/>
  <c r="J1629" i="1" s="1"/>
  <c r="L1626" i="1" a="1"/>
  <c r="L1626" i="1" s="1"/>
  <c r="K1627" i="1" a="1"/>
  <c r="K1627" i="1" s="1"/>
  <c r="L1625" i="1" a="1"/>
  <c r="L1625" i="1" s="1"/>
  <c r="L1627" i="1" a="1"/>
  <c r="L1627" i="1" s="1"/>
  <c r="L1629" i="1" a="1"/>
  <c r="L1629" i="1" s="1"/>
  <c r="J1627" i="1" a="1"/>
  <c r="J1627" i="1" s="1"/>
  <c r="K1625" i="1" a="1"/>
  <c r="K1625" i="1" s="1"/>
  <c r="J1628" i="1" a="1"/>
  <c r="J1628" i="1" s="1"/>
  <c r="K1628" i="1" a="1"/>
  <c r="K1628" i="1" s="1"/>
  <c r="L1642" i="1" a="1"/>
  <c r="L1642" i="1" s="1"/>
  <c r="J1626" i="1" a="1"/>
  <c r="J1626" i="1" s="1"/>
  <c r="K1621" i="1" a="1"/>
  <c r="K1621" i="1" s="1"/>
  <c r="J1621" i="1" a="1"/>
  <c r="J1621" i="1" s="1"/>
  <c r="J1623" i="1" a="1"/>
  <c r="J1623" i="1" s="1"/>
  <c r="J1613" i="1" a="1"/>
  <c r="J1613" i="1" s="1"/>
  <c r="L1622" i="1" a="1"/>
  <c r="L1622" i="1" s="1"/>
  <c r="J1619" i="1" a="1"/>
  <c r="J1619" i="1" s="1"/>
  <c r="J1622" i="1" a="1"/>
  <c r="J1622" i="1" s="1"/>
  <c r="J1625" i="1" a="1"/>
  <c r="J1625" i="1" s="1"/>
  <c r="L1624" i="1" a="1"/>
  <c r="L1624" i="1" s="1"/>
  <c r="J1624" i="1" a="1"/>
  <c r="J1624" i="1" s="1"/>
  <c r="K1613" i="1" a="1"/>
  <c r="K1613" i="1" s="1"/>
  <c r="L1612" i="1" a="1"/>
  <c r="L1612" i="1" s="1"/>
  <c r="K1624" i="1" a="1"/>
  <c r="K1624" i="1" s="1"/>
  <c r="K1619" i="1" a="1"/>
  <c r="K1619" i="1" s="1"/>
  <c r="J1612" i="1" a="1"/>
  <c r="J1612" i="1" s="1"/>
  <c r="K1622" i="1" a="1"/>
  <c r="K1622" i="1" s="1"/>
  <c r="L1623" i="1" a="1"/>
  <c r="L1623" i="1" s="1"/>
  <c r="K1623" i="1" a="1"/>
  <c r="K1623" i="1" s="1"/>
  <c r="L1613" i="1" a="1"/>
  <c r="L1613" i="1" s="1"/>
  <c r="L1621" i="1" a="1"/>
  <c r="L1621" i="1" s="1"/>
  <c r="K1612" i="1" a="1"/>
  <c r="K1612" i="1" s="1"/>
  <c r="L1619" i="1" a="1"/>
  <c r="L1619" i="1" s="1"/>
  <c r="J1604" i="1" a="1"/>
  <c r="J1604" i="1" s="1"/>
  <c r="L1598" i="1" a="1"/>
  <c r="L1598" i="1" s="1"/>
  <c r="L1605" i="1" a="1"/>
  <c r="L1605" i="1" s="1"/>
  <c r="L1596" i="1" a="1"/>
  <c r="L1596" i="1" s="1"/>
  <c r="K1604" i="1" a="1"/>
  <c r="K1604" i="1" s="1"/>
  <c r="L1611" i="1" a="1"/>
  <c r="L1611" i="1" s="1"/>
  <c r="K1611" i="1" a="1"/>
  <c r="K1611" i="1" s="1"/>
  <c r="J1611" i="1" a="1"/>
  <c r="J1611" i="1" s="1"/>
  <c r="J1605" i="1" a="1"/>
  <c r="J1605" i="1" s="1"/>
  <c r="K1598" i="1" a="1"/>
  <c r="K1598" i="1" s="1"/>
  <c r="L1604" i="1" a="1"/>
  <c r="L1604" i="1" s="1"/>
  <c r="K1605" i="1" a="1"/>
  <c r="K1605" i="1" s="1"/>
  <c r="J1598" i="1" a="1"/>
  <c r="J1598" i="1" s="1"/>
  <c r="K1596" i="1" a="1"/>
  <c r="K1596" i="1" s="1"/>
  <c r="J1596" i="1" a="1"/>
  <c r="J1596" i="1" s="1"/>
  <c r="K1595" i="1" a="1"/>
  <c r="K1595" i="1" s="1"/>
  <c r="L1582" i="1" a="1"/>
  <c r="L1582" i="1" s="1"/>
  <c r="K1581" i="1" a="1"/>
  <c r="K1581" i="1" s="1"/>
  <c r="J1595" i="1" a="1"/>
  <c r="J1595" i="1" s="1"/>
  <c r="L1580" i="1" a="1"/>
  <c r="L1580" i="1" s="1"/>
  <c r="J1581" i="1" a="1"/>
  <c r="J1581" i="1" s="1"/>
  <c r="J1582" i="1" a="1"/>
  <c r="J1582" i="1" s="1"/>
  <c r="K1582" i="1" a="1"/>
  <c r="K1582" i="1" s="1"/>
  <c r="L1581" i="1" a="1"/>
  <c r="L1581" i="1" s="1"/>
  <c r="L1595" i="1" a="1"/>
  <c r="L1595" i="1" s="1"/>
  <c r="L1578" i="1" a="1"/>
  <c r="L1578" i="1" s="1"/>
  <c r="L1574" i="1" a="1"/>
  <c r="L1574" i="1" s="1"/>
  <c r="J1576" i="1" a="1"/>
  <c r="J1576" i="1" s="1"/>
  <c r="L1575" i="1" a="1"/>
  <c r="L1575" i="1" s="1"/>
  <c r="J1574" i="1" a="1"/>
  <c r="J1574" i="1" s="1"/>
  <c r="L1576" i="1" a="1"/>
  <c r="L1576" i="1" s="1"/>
  <c r="J1575" i="1" a="1"/>
  <c r="J1575" i="1" s="1"/>
  <c r="K1574" i="1" a="1"/>
  <c r="K1574" i="1" s="1"/>
  <c r="J1572" i="1" a="1"/>
  <c r="J1572" i="1" s="1"/>
  <c r="K1572" i="1" a="1"/>
  <c r="K1572" i="1" s="1"/>
  <c r="K1580" i="1" a="1"/>
  <c r="K1580" i="1" s="1"/>
  <c r="J1580" i="1" a="1"/>
  <c r="J1580" i="1" s="1"/>
  <c r="J1577" i="1" a="1"/>
  <c r="J1577" i="1" s="1"/>
  <c r="K1577" i="1" a="1"/>
  <c r="K1577" i="1" s="1"/>
  <c r="L1572" i="1" a="1"/>
  <c r="L1572" i="1" s="1"/>
  <c r="J1578" i="1" a="1"/>
  <c r="J1578" i="1" s="1"/>
  <c r="L1579" i="1" a="1"/>
  <c r="L1579" i="1" s="1"/>
  <c r="K1579" i="1" a="1"/>
  <c r="K1579" i="1" s="1"/>
  <c r="K1576" i="1" a="1"/>
  <c r="K1576" i="1" s="1"/>
  <c r="L1577" i="1" a="1"/>
  <c r="L1577" i="1" s="1"/>
  <c r="K1575" i="1" a="1"/>
  <c r="K1575" i="1" s="1"/>
  <c r="J1579" i="1" a="1"/>
  <c r="J1579" i="1" s="1"/>
  <c r="K1578" i="1" a="1"/>
  <c r="K1578" i="1" s="1"/>
  <c r="L1558" i="1" a="1"/>
  <c r="L1558" i="1" s="1"/>
  <c r="J1557" i="1" a="1"/>
  <c r="J1557" i="1" s="1"/>
  <c r="L1564" i="1" a="1"/>
  <c r="L1564" i="1" s="1"/>
  <c r="K1558" i="1" a="1"/>
  <c r="K1558" i="1" s="1"/>
  <c r="K1566" i="1" a="1"/>
  <c r="K1566" i="1" s="1"/>
  <c r="L1565" i="1" a="1"/>
  <c r="L1565" i="1" s="1"/>
  <c r="L1566" i="1" a="1"/>
  <c r="L1566" i="1" s="1"/>
  <c r="K1564" i="1" a="1"/>
  <c r="K1564" i="1" s="1"/>
  <c r="J1564" i="1" a="1"/>
  <c r="J1564" i="1" s="1"/>
  <c r="J1566" i="1" a="1"/>
  <c r="J1566" i="1" s="1"/>
  <c r="K1565" i="1" a="1"/>
  <c r="K1565" i="1" s="1"/>
  <c r="K1557" i="1" a="1"/>
  <c r="K1557" i="1" s="1"/>
  <c r="J1565" i="1" a="1"/>
  <c r="J1565" i="1" s="1"/>
  <c r="L1557" i="1" a="1"/>
  <c r="L1557" i="1" s="1"/>
  <c r="J1558" i="1" a="1"/>
  <c r="J1558" i="1" s="1"/>
  <c r="L1530" i="1" a="1"/>
  <c r="L1530" i="1" s="1"/>
  <c r="J1530" i="1" a="1"/>
  <c r="J1530" i="1" s="1"/>
  <c r="K1531" i="1" a="1"/>
  <c r="K1531" i="1" s="1"/>
  <c r="L1531" i="1" a="1"/>
  <c r="L1531" i="1" s="1"/>
  <c r="K1551" i="1" a="1"/>
  <c r="K1551" i="1" s="1"/>
  <c r="K1548" i="1" a="1"/>
  <c r="K1548" i="1" s="1"/>
  <c r="L1549" i="1" a="1"/>
  <c r="L1549" i="1" s="1"/>
  <c r="J1549" i="1" a="1"/>
  <c r="J1549" i="1" s="1"/>
  <c r="J1548" i="1" a="1"/>
  <c r="J1548" i="1" s="1"/>
  <c r="J1531" i="1" a="1"/>
  <c r="J1531" i="1" s="1"/>
  <c r="K1530" i="1" a="1"/>
  <c r="K1530" i="1" s="1"/>
  <c r="L1551" i="1" a="1"/>
  <c r="L1551" i="1" s="1"/>
  <c r="J1551" i="1" a="1"/>
  <c r="J1551" i="1" s="1"/>
  <c r="K1549" i="1" a="1"/>
  <c r="K1549" i="1" s="1"/>
  <c r="L1548" i="1" a="1"/>
  <c r="L1548" i="1" s="1"/>
  <c r="J1529" i="1" a="1"/>
  <c r="J1529" i="1" s="1"/>
  <c r="K1528" i="1" a="1"/>
  <c r="K1528" i="1" s="1"/>
  <c r="L1525" i="1" a="1"/>
  <c r="L1525" i="1" s="1"/>
  <c r="L1527" i="1" a="1"/>
  <c r="L1527" i="1" s="1"/>
  <c r="J1521" i="1" a="1"/>
  <c r="J1521" i="1" s="1"/>
  <c r="J1525" i="1" a="1"/>
  <c r="J1525" i="1" s="1"/>
  <c r="L1523" i="1" a="1"/>
  <c r="L1523" i="1" s="1"/>
  <c r="J1523" i="1" a="1"/>
  <c r="J1523" i="1" s="1"/>
  <c r="J1528" i="1" a="1"/>
  <c r="J1528" i="1" s="1"/>
  <c r="L1522" i="1" a="1"/>
  <c r="L1522" i="1" s="1"/>
  <c r="L1526" i="1" a="1"/>
  <c r="L1526" i="1" s="1"/>
  <c r="L1524" i="1" a="1"/>
  <c r="L1524" i="1" s="1"/>
  <c r="J1522" i="1" a="1"/>
  <c r="J1522" i="1" s="1"/>
  <c r="J1527" i="1" a="1"/>
  <c r="J1527" i="1" s="1"/>
  <c r="J1526" i="1" a="1"/>
  <c r="J1526" i="1" s="1"/>
  <c r="K1523" i="1" a="1"/>
  <c r="K1523" i="1" s="1"/>
  <c r="L1528" i="1" a="1"/>
  <c r="L1528" i="1" s="1"/>
  <c r="J1524" i="1" a="1"/>
  <c r="J1524" i="1" s="1"/>
  <c r="K1521" i="1" a="1"/>
  <c r="K1521" i="1" s="1"/>
  <c r="K1525" i="1" a="1"/>
  <c r="K1525" i="1" s="1"/>
  <c r="L1529" i="1" a="1"/>
  <c r="L1529" i="1" s="1"/>
  <c r="K1529" i="1" a="1"/>
  <c r="K1529" i="1" s="1"/>
  <c r="K1526" i="1" a="1"/>
  <c r="K1526" i="1" s="1"/>
  <c r="L1521" i="1" a="1"/>
  <c r="L1521" i="1" s="1"/>
  <c r="K1527" i="1" a="1"/>
  <c r="K1527" i="1" s="1"/>
  <c r="K1524" i="1" a="1"/>
  <c r="K1524" i="1" s="1"/>
  <c r="K1522" i="1" a="1"/>
  <c r="K1522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2306" i="1" a="1"/>
  <c r="J2306" i="1" s="1"/>
  <c r="J2308" i="1" a="1"/>
  <c r="J2308" i="1" s="1"/>
  <c r="K2306" i="1" a="1"/>
  <c r="K2306" i="1" s="1"/>
  <c r="J2310" i="1" a="1"/>
  <c r="J2310" i="1" s="1"/>
  <c r="K2303" i="1" a="1"/>
  <c r="K2303" i="1" s="1"/>
  <c r="L2304" i="1" a="1"/>
  <c r="L2304" i="1" s="1"/>
  <c r="L2306" i="1" a="1"/>
  <c r="L2306" i="1" s="1"/>
  <c r="J2312" i="1" a="1"/>
  <c r="J2312" i="1" s="1"/>
  <c r="L2310" i="1" a="1"/>
  <c r="L2310" i="1" s="1"/>
  <c r="K2304" i="1" a="1"/>
  <c r="K2304" i="1" s="1"/>
  <c r="L2303" i="1" a="1"/>
  <c r="L2303" i="1" s="1"/>
  <c r="K2312" i="1" a="1"/>
  <c r="K2312" i="1" s="1"/>
  <c r="K2308" i="1" a="1"/>
  <c r="K2308" i="1" s="1"/>
  <c r="L2308" i="1" a="1"/>
  <c r="L2308" i="1" s="1"/>
  <c r="J2303" i="1" a="1"/>
  <c r="J2303" i="1" s="1"/>
  <c r="J2304" i="1" a="1"/>
  <c r="J2304" i="1" s="1"/>
  <c r="L2312" i="1" a="1"/>
  <c r="L2312" i="1" s="1"/>
  <c r="K2310" i="1" a="1"/>
  <c r="K2310" i="1" s="1"/>
  <c r="K2292" i="1" a="1"/>
  <c r="K2292" i="1" s="1"/>
  <c r="L2292" i="1" a="1"/>
  <c r="L2292" i="1" s="1"/>
  <c r="L2302" i="1" a="1"/>
  <c r="L2302" i="1" s="1"/>
  <c r="K2302" i="1" a="1"/>
  <c r="K2302" i="1" s="1"/>
  <c r="L2300" i="1" a="1"/>
  <c r="L2300" i="1" s="1"/>
  <c r="J2297" i="1" a="1"/>
  <c r="J2297" i="1" s="1"/>
  <c r="J2294" i="1" a="1"/>
  <c r="J2294" i="1" s="1"/>
  <c r="L2290" i="1" a="1"/>
  <c r="L2290" i="1" s="1"/>
  <c r="J2290" i="1" a="1"/>
  <c r="J2290" i="1" s="1"/>
  <c r="J2302" i="1" a="1"/>
  <c r="J2302" i="1" s="1"/>
  <c r="K2298" i="1" a="1"/>
  <c r="K2298" i="1" s="1"/>
  <c r="K2297" i="1" a="1"/>
  <c r="K2297" i="1" s="1"/>
  <c r="L2294" i="1" a="1"/>
  <c r="L2294" i="1" s="1"/>
  <c r="J2292" i="1" a="1"/>
  <c r="J2292" i="1" s="1"/>
  <c r="K2290" i="1" a="1"/>
  <c r="K2290" i="1" s="1"/>
  <c r="L2297" i="1" a="1"/>
  <c r="L2297" i="1" s="1"/>
  <c r="L2298" i="1" a="1"/>
  <c r="L2298" i="1" s="1"/>
  <c r="J2298" i="1" a="1"/>
  <c r="J2298" i="1" s="1"/>
  <c r="J2300" i="1" a="1"/>
  <c r="J2300" i="1" s="1"/>
  <c r="K2300" i="1" a="1"/>
  <c r="K2300" i="1" s="1"/>
  <c r="K2294" i="1" a="1"/>
  <c r="K2294" i="1" s="1"/>
  <c r="K2282" i="1" a="1"/>
  <c r="K2282" i="1" s="1"/>
  <c r="K2277" i="1" a="1"/>
  <c r="K2277" i="1" s="1"/>
  <c r="J2277" i="1" a="1"/>
  <c r="J2277" i="1" s="1"/>
  <c r="L2277" i="1" a="1"/>
  <c r="L2277" i="1" s="1"/>
  <c r="L2288" i="1" a="1"/>
  <c r="L2288" i="1" s="1"/>
  <c r="J2288" i="1" a="1"/>
  <c r="J2288" i="1" s="1"/>
  <c r="K2284" i="1" a="1"/>
  <c r="K2284" i="1" s="1"/>
  <c r="L2278" i="1" a="1"/>
  <c r="L2278" i="1" s="1"/>
  <c r="L2286" i="1" a="1"/>
  <c r="L2286" i="1" s="1"/>
  <c r="K2286" i="1" a="1"/>
  <c r="K2286" i="1" s="1"/>
  <c r="L2281" i="1" a="1"/>
  <c r="L2281" i="1" s="1"/>
  <c r="L2280" i="1" a="1"/>
  <c r="L2280" i="1" s="1"/>
  <c r="J2278" i="1" a="1"/>
  <c r="J2278" i="1" s="1"/>
  <c r="J2286" i="1" a="1"/>
  <c r="J2286" i="1" s="1"/>
  <c r="J2284" i="1" a="1"/>
  <c r="J2284" i="1" s="1"/>
  <c r="J2280" i="1" a="1"/>
  <c r="J2280" i="1" s="1"/>
  <c r="K2278" i="1" a="1"/>
  <c r="K2278" i="1" s="1"/>
  <c r="K2288" i="1" a="1"/>
  <c r="K2288" i="1" s="1"/>
  <c r="L2282" i="1" a="1"/>
  <c r="L2282" i="1" s="1"/>
  <c r="J2281" i="1" a="1"/>
  <c r="J2281" i="1" s="1"/>
  <c r="J2282" i="1" a="1"/>
  <c r="J2282" i="1" s="1"/>
  <c r="L2284" i="1" a="1"/>
  <c r="L2284" i="1" s="1"/>
  <c r="K2281" i="1" a="1"/>
  <c r="K2281" i="1" s="1"/>
  <c r="K2280" i="1" a="1"/>
  <c r="K2280" i="1" s="1"/>
  <c r="J806" i="1" a="1"/>
  <c r="J806" i="1" s="1"/>
  <c r="K806" i="1" a="1"/>
  <c r="K806" i="1" s="1"/>
  <c r="L804" i="1" a="1"/>
  <c r="L804" i="1" s="1"/>
  <c r="L806" i="1" a="1"/>
  <c r="L806" i="1" s="1"/>
  <c r="K780" i="1" a="1"/>
  <c r="K780" i="1" s="1"/>
  <c r="J780" i="1" a="1"/>
  <c r="J780" i="1" s="1"/>
  <c r="L780" i="1" a="1"/>
  <c r="L780" i="1" s="1"/>
  <c r="K804" i="1" a="1"/>
  <c r="K804" i="1" s="1"/>
  <c r="J804" i="1" a="1"/>
  <c r="J804" i="1" s="1"/>
  <c r="L802" i="1" a="1"/>
  <c r="L802" i="1" s="1"/>
  <c r="K802" i="1" a="1"/>
  <c r="K802" i="1" s="1"/>
  <c r="J802" i="1" a="1"/>
  <c r="J802" i="1" s="1"/>
  <c r="L766" i="1" a="1"/>
  <c r="L766" i="1" s="1"/>
  <c r="L816" i="1" s="1" a="1"/>
  <c r="L816" i="1" s="1"/>
  <c r="K766" i="1" a="1"/>
  <c r="K766" i="1" s="1"/>
  <c r="K816" i="1" s="1" a="1"/>
  <c r="K816" i="1" s="1"/>
  <c r="J766" i="1" a="1"/>
  <c r="J766" i="1" s="1"/>
  <c r="J816" i="1" s="1" a="1"/>
  <c r="J816" i="1" s="1"/>
  <c r="L885" i="1" a="1"/>
  <c r="L885" i="1" s="1"/>
  <c r="K884" i="1" a="1"/>
  <c r="K884" i="1" s="1"/>
  <c r="J896" i="1" a="1"/>
  <c r="J896" i="1" s="1"/>
  <c r="K885" i="1" a="1"/>
  <c r="K885" i="1" s="1"/>
  <c r="L884" i="1" a="1"/>
  <c r="L884" i="1" s="1"/>
  <c r="K896" i="1" a="1"/>
  <c r="K896" i="1" s="1"/>
  <c r="L896" i="1" a="1"/>
  <c r="L896" i="1" s="1"/>
  <c r="J885" i="1" a="1"/>
  <c r="J885" i="1" s="1"/>
  <c r="J884" i="1" a="1"/>
  <c r="J884" i="1" s="1"/>
  <c r="J928" i="1" a="1"/>
  <c r="J928" i="1" s="1"/>
  <c r="J914" i="1" a="1"/>
  <c r="J914" i="1" s="1"/>
  <c r="J916" i="1" a="1"/>
  <c r="J916" i="1" s="1"/>
  <c r="L928" i="1" a="1"/>
  <c r="L928" i="1" s="1"/>
  <c r="K916" i="1" a="1"/>
  <c r="K916" i="1" s="1"/>
  <c r="L914" i="1" a="1"/>
  <c r="L914" i="1" s="1"/>
  <c r="K928" i="1" a="1"/>
  <c r="K928" i="1" s="1"/>
  <c r="K914" i="1" a="1"/>
  <c r="K914" i="1" s="1"/>
  <c r="L916" i="1" a="1"/>
  <c r="L916" i="1" s="1"/>
  <c r="J1898" i="1" a="1"/>
  <c r="J1898" i="1" s="1"/>
  <c r="L1898" i="1" a="1"/>
  <c r="L1898" i="1" s="1"/>
  <c r="J1896" i="1" a="1"/>
  <c r="J1896" i="1" s="1"/>
  <c r="K1894" i="1" a="1"/>
  <c r="K1894" i="1" s="1"/>
  <c r="L1902" i="1" a="1"/>
  <c r="L1902" i="1" s="1"/>
  <c r="K1902" i="1" a="1"/>
  <c r="K1902" i="1" s="1"/>
  <c r="K1898" i="1" a="1"/>
  <c r="K1898" i="1" s="1"/>
  <c r="L1893" i="1" a="1"/>
  <c r="L1893" i="1" s="1"/>
  <c r="J1902" i="1" a="1"/>
  <c r="J1902" i="1" s="1"/>
  <c r="J1900" i="1" a="1"/>
  <c r="J1900" i="1" s="1"/>
  <c r="K1896" i="1" a="1"/>
  <c r="K1896" i="1" s="1"/>
  <c r="J1893" i="1" a="1"/>
  <c r="J1893" i="1" s="1"/>
  <c r="L1896" i="1" a="1"/>
  <c r="L1896" i="1" s="1"/>
  <c r="L1894" i="1" a="1"/>
  <c r="L1894" i="1" s="1"/>
  <c r="J1894" i="1" a="1"/>
  <c r="J1894" i="1" s="1"/>
  <c r="K1893" i="1" a="1"/>
  <c r="K1893" i="1" s="1"/>
  <c r="L1900" i="1" a="1"/>
  <c r="L1900" i="1" s="1"/>
  <c r="K1900" i="1" a="1"/>
  <c r="K1900" i="1" s="1"/>
  <c r="J1888" i="1" a="1"/>
  <c r="J1888" i="1" s="1"/>
  <c r="K1892" i="1" a="1"/>
  <c r="K1892" i="1" s="1"/>
  <c r="J1892" i="1" a="1"/>
  <c r="J1892" i="1" s="1"/>
  <c r="L1880" i="1" a="1"/>
  <c r="L1880" i="1" s="1"/>
  <c r="J1887" i="1" a="1"/>
  <c r="J1887" i="1" s="1"/>
  <c r="L1887" i="1" a="1"/>
  <c r="L1887" i="1" s="1"/>
  <c r="L1888" i="1" a="1"/>
  <c r="L1888" i="1" s="1"/>
  <c r="L1892" i="1" a="1"/>
  <c r="L1892" i="1" s="1"/>
  <c r="K1887" i="1" a="1"/>
  <c r="K1887" i="1" s="1"/>
  <c r="L1884" i="1" a="1"/>
  <c r="L1884" i="1" s="1"/>
  <c r="K1890" i="1" a="1"/>
  <c r="K1890" i="1" s="1"/>
  <c r="J1890" i="1" a="1"/>
  <c r="J1890" i="1" s="1"/>
  <c r="L1882" i="1" a="1"/>
  <c r="L1882" i="1" s="1"/>
  <c r="K1888" i="1" a="1"/>
  <c r="K1888" i="1" s="1"/>
  <c r="K1882" i="1" a="1"/>
  <c r="K1882" i="1" s="1"/>
  <c r="J1884" i="1" a="1"/>
  <c r="J1884" i="1" s="1"/>
  <c r="K1884" i="1" a="1"/>
  <c r="K1884" i="1" s="1"/>
  <c r="L1890" i="1" a="1"/>
  <c r="L1890" i="1" s="1"/>
  <c r="J1882" i="1" a="1"/>
  <c r="J1882" i="1" s="1"/>
  <c r="K1878" i="1" a="1"/>
  <c r="K1878" i="1" s="1"/>
  <c r="J1878" i="1" a="1"/>
  <c r="J1878" i="1" s="1"/>
  <c r="K1870" i="1" a="1"/>
  <c r="K1870" i="1" s="1"/>
  <c r="L1870" i="1" a="1"/>
  <c r="L1870" i="1" s="1"/>
  <c r="J1870" i="1" a="1"/>
  <c r="J1870" i="1" s="1"/>
  <c r="L1876" i="1" a="1"/>
  <c r="L1876" i="1" s="1"/>
  <c r="K1874" i="1" a="1"/>
  <c r="K1874" i="1" s="1"/>
  <c r="K1871" i="1" a="1"/>
  <c r="K1871" i="1" s="1"/>
  <c r="J1872" i="1" a="1"/>
  <c r="J1872" i="1" s="1"/>
  <c r="L1872" i="1" a="1"/>
  <c r="L1872" i="1" s="1"/>
  <c r="L1871" i="1" a="1"/>
  <c r="L1871" i="1" s="1"/>
  <c r="J1868" i="1" a="1"/>
  <c r="J1868" i="1" s="1"/>
  <c r="L1874" i="1" a="1"/>
  <c r="L1874" i="1" s="1"/>
  <c r="J1871" i="1" a="1"/>
  <c r="J1871" i="1" s="1"/>
  <c r="K1868" i="1" a="1"/>
  <c r="K1868" i="1" s="1"/>
  <c r="L1868" i="1" a="1"/>
  <c r="L1868" i="1" s="1"/>
  <c r="K1876" i="1" a="1"/>
  <c r="K1876" i="1" s="1"/>
  <c r="J1876" i="1" a="1"/>
  <c r="J1876" i="1" s="1"/>
  <c r="J1874" i="1" a="1"/>
  <c r="J1874" i="1" s="1"/>
  <c r="K1880" i="1" a="1"/>
  <c r="K1880" i="1" s="1"/>
  <c r="K1872" i="1" a="1"/>
  <c r="K1872" i="1" s="1"/>
  <c r="J1880" i="1" a="1"/>
  <c r="J1880" i="1" s="1"/>
  <c r="L1878" i="1" a="1"/>
  <c r="L1878" i="1" s="1"/>
  <c r="L1857" i="1" a="1"/>
  <c r="L1857" i="1" s="1"/>
  <c r="L1859" i="1" a="1"/>
  <c r="L1859" i="1" s="1"/>
  <c r="J1861" i="1" a="1"/>
  <c r="J1861" i="1" s="1"/>
  <c r="K1857" i="1" a="1"/>
  <c r="K1857" i="1" s="1"/>
  <c r="L1861" i="1" a="1"/>
  <c r="L1861" i="1" s="1"/>
  <c r="L1865" i="1" a="1"/>
  <c r="L1865" i="1" s="1"/>
  <c r="K1859" i="1" a="1"/>
  <c r="K1859" i="1" s="1"/>
  <c r="L1867" i="1" a="1"/>
  <c r="L1867" i="1" s="1"/>
  <c r="K1865" i="1" a="1"/>
  <c r="K1865" i="1" s="1"/>
  <c r="J1865" i="1" a="1"/>
  <c r="J1865" i="1" s="1"/>
  <c r="K1867" i="1" a="1"/>
  <c r="K1867" i="1" s="1"/>
  <c r="K1864" i="1" a="1"/>
  <c r="K1864" i="1" s="1"/>
  <c r="K1861" i="1" a="1"/>
  <c r="K1861" i="1" s="1"/>
  <c r="J1867" i="1" a="1"/>
  <c r="J1867" i="1" s="1"/>
  <c r="J1859" i="1" a="1"/>
  <c r="J1859" i="1" s="1"/>
  <c r="L1864" i="1" a="1"/>
  <c r="L1864" i="1" s="1"/>
  <c r="J1864" i="1" a="1"/>
  <c r="J1864" i="1" s="1"/>
  <c r="L1851" i="1" a="1"/>
  <c r="L1851" i="1" s="1"/>
  <c r="K1853" i="1" a="1"/>
  <c r="K1853" i="1" s="1"/>
  <c r="J1853" i="1" a="1"/>
  <c r="J1853" i="1" s="1"/>
  <c r="L1853" i="1" a="1"/>
  <c r="L1853" i="1" s="1"/>
  <c r="J1851" i="1" a="1"/>
  <c r="J1851" i="1" s="1"/>
  <c r="L1855" i="1" a="1"/>
  <c r="L1855" i="1" s="1"/>
  <c r="K1855" i="1" a="1"/>
  <c r="K1855" i="1" s="1"/>
  <c r="K1851" i="1" a="1"/>
  <c r="K1851" i="1" s="1"/>
  <c r="J1855" i="1" a="1"/>
  <c r="J1855" i="1" s="1"/>
  <c r="J1857" i="1" a="1"/>
  <c r="J1857" i="1" s="1"/>
  <c r="J1845" i="1" a="1"/>
  <c r="J1845" i="1" s="1"/>
  <c r="K1850" i="1" a="1"/>
  <c r="K1850" i="1" s="1"/>
  <c r="K1845" i="1" a="1"/>
  <c r="K1845" i="1" s="1"/>
  <c r="K1842" i="1" a="1"/>
  <c r="K1842" i="1" s="1"/>
  <c r="L1848" i="1" a="1"/>
  <c r="L1848" i="1" s="1"/>
  <c r="L1845" i="1" a="1"/>
  <c r="L1845" i="1" s="1"/>
  <c r="K1848" i="1" a="1"/>
  <c r="K1848" i="1" s="1"/>
  <c r="J1842" i="1" a="1"/>
  <c r="J1842" i="1" s="1"/>
  <c r="K1846" i="1" a="1"/>
  <c r="K1846" i="1" s="1"/>
  <c r="L1842" i="1" a="1"/>
  <c r="L1842" i="1" s="1"/>
  <c r="L1846" i="1" a="1"/>
  <c r="L1846" i="1" s="1"/>
  <c r="L1850" i="1" a="1"/>
  <c r="L1850" i="1" s="1"/>
  <c r="J1850" i="1" a="1"/>
  <c r="J1850" i="1" s="1"/>
  <c r="J1848" i="1" a="1"/>
  <c r="J1848" i="1" s="1"/>
  <c r="J1846" i="1" a="1"/>
  <c r="J1846" i="1" s="1"/>
  <c r="J1831" i="1" a="1"/>
  <c r="J1831" i="1" s="1"/>
  <c r="K1834" i="1" a="1"/>
  <c r="K1834" i="1" s="1"/>
  <c r="K1832" i="1" a="1"/>
  <c r="K1832" i="1" s="1"/>
  <c r="L1836" i="1" a="1"/>
  <c r="L1836" i="1" s="1"/>
  <c r="L1831" i="1" a="1"/>
  <c r="L1831" i="1" s="1"/>
  <c r="L1832" i="1" a="1"/>
  <c r="L1832" i="1" s="1"/>
  <c r="J1832" i="1" a="1"/>
  <c r="J1832" i="1" s="1"/>
  <c r="K1831" i="1" a="1"/>
  <c r="K1831" i="1" s="1"/>
  <c r="K1838" i="1" a="1"/>
  <c r="K1838" i="1" s="1"/>
  <c r="J1838" i="1" a="1"/>
  <c r="J1838" i="1" s="1"/>
  <c r="K1836" i="1" a="1"/>
  <c r="K1836" i="1" s="1"/>
  <c r="J1836" i="1" a="1"/>
  <c r="J1836" i="1" s="1"/>
  <c r="J1834" i="1" a="1"/>
  <c r="J1834" i="1" s="1"/>
  <c r="L1834" i="1" a="1"/>
  <c r="L1834" i="1" s="1"/>
  <c r="K1840" i="1" a="1"/>
  <c r="K1840" i="1" s="1"/>
  <c r="L1840" i="1" a="1"/>
  <c r="L1840" i="1" s="1"/>
  <c r="J1840" i="1" a="1"/>
  <c r="J1840" i="1" s="1"/>
  <c r="L1838" i="1" a="1"/>
  <c r="L1838" i="1" s="1"/>
  <c r="K1826" i="1" a="1"/>
  <c r="K1826" i="1" s="1"/>
  <c r="J1826" i="1" a="1"/>
  <c r="J1826" i="1" s="1"/>
  <c r="L1829" i="1" a="1"/>
  <c r="L1829" i="1" s="1"/>
  <c r="K1829" i="1" a="1"/>
  <c r="K1829" i="1" s="1"/>
  <c r="J1829" i="1" a="1"/>
  <c r="J1829" i="1" s="1"/>
  <c r="L1827" i="1" a="1"/>
  <c r="L1827" i="1" s="1"/>
  <c r="K1827" i="1" a="1"/>
  <c r="K1827" i="1" s="1"/>
  <c r="L1826" i="1" a="1"/>
  <c r="L1826" i="1" s="1"/>
  <c r="J1827" i="1" a="1"/>
  <c r="J1827" i="1" s="1"/>
  <c r="K998" i="1" a="1"/>
  <c r="K998" i="1" s="1"/>
  <c r="L991" i="1" a="1"/>
  <c r="L991" i="1" s="1"/>
  <c r="J991" i="1" a="1"/>
  <c r="J991" i="1" s="1"/>
  <c r="K999" i="1" a="1"/>
  <c r="K999" i="1" s="1"/>
  <c r="K1051" i="1" s="1" a="1"/>
  <c r="K1051" i="1" s="1"/>
  <c r="L999" i="1" a="1"/>
  <c r="L999" i="1" s="1"/>
  <c r="L1051" i="1" s="1" a="1"/>
  <c r="L1051" i="1" s="1"/>
  <c r="K991" i="1" a="1"/>
  <c r="K991" i="1" s="1"/>
  <c r="K985" i="1" a="1"/>
  <c r="K985" i="1" s="1"/>
  <c r="K979" i="1" a="1"/>
  <c r="K979" i="1" s="1"/>
  <c r="K1053" i="1" s="1" a="1"/>
  <c r="K1053" i="1" s="1"/>
  <c r="L985" i="1" a="1"/>
  <c r="L985" i="1" s="1"/>
  <c r="J979" i="1" a="1"/>
  <c r="J979" i="1" s="1"/>
  <c r="J1053" i="1" s="1" a="1"/>
  <c r="J1053" i="1" s="1"/>
  <c r="J999" i="1" a="1"/>
  <c r="J999" i="1" s="1"/>
  <c r="J1051" i="1" s="1" a="1"/>
  <c r="J1051" i="1" s="1"/>
  <c r="L979" i="1" a="1"/>
  <c r="L979" i="1" s="1"/>
  <c r="L1053" i="1" s="1" a="1"/>
  <c r="L1053" i="1" s="1"/>
  <c r="J998" i="1" a="1"/>
  <c r="J998" i="1" s="1"/>
  <c r="L998" i="1" a="1"/>
  <c r="L998" i="1" s="1"/>
  <c r="J985" i="1" a="1"/>
  <c r="J985" i="1" s="1"/>
  <c r="L976" i="1" a="1"/>
  <c r="L976" i="1" s="1"/>
  <c r="K976" i="1" a="1"/>
  <c r="K976" i="1" s="1"/>
  <c r="J975" i="1" a="1"/>
  <c r="J975" i="1" s="1"/>
  <c r="K975" i="1" a="1"/>
  <c r="K975" i="1" s="1"/>
  <c r="L978" i="1" a="1"/>
  <c r="L978" i="1" s="1"/>
  <c r="K978" i="1" a="1"/>
  <c r="K978" i="1" s="1"/>
  <c r="J978" i="1" a="1"/>
  <c r="J978" i="1" s="1"/>
  <c r="J976" i="1" a="1"/>
  <c r="J976" i="1" s="1"/>
  <c r="L975" i="1" a="1"/>
  <c r="L975" i="1" s="1"/>
  <c r="K1041" i="1" a="1"/>
  <c r="K1041" i="1" s="1"/>
  <c r="K1039" i="1" a="1"/>
  <c r="K1039" i="1" s="1"/>
  <c r="J1041" i="1" a="1"/>
  <c r="J1041" i="1" s="1"/>
  <c r="L1029" i="1" a="1"/>
  <c r="L1029" i="1" s="1"/>
  <c r="L1032" i="1" a="1"/>
  <c r="L1032" i="1" s="1"/>
  <c r="J1039" i="1" a="1"/>
  <c r="J1039" i="1" s="1"/>
  <c r="J1032" i="1" a="1"/>
  <c r="J1032" i="1" s="1"/>
  <c r="K1032" i="1" a="1"/>
  <c r="K1032" i="1" s="1"/>
  <c r="J1029" i="1" a="1"/>
  <c r="J1029" i="1" s="1"/>
  <c r="L1041" i="1" a="1"/>
  <c r="L1041" i="1" s="1"/>
  <c r="L1039" i="1" a="1"/>
  <c r="L1039" i="1" s="1"/>
  <c r="K1029" i="1" a="1"/>
  <c r="K1029" i="1" s="1"/>
  <c r="L1027" i="1" a="1"/>
  <c r="L1027" i="1" s="1"/>
  <c r="K1027" i="1" a="1"/>
  <c r="K1027" i="1" s="1"/>
  <c r="L1024" i="1" a="1"/>
  <c r="L1024" i="1" s="1"/>
  <c r="J1024" i="1" a="1"/>
  <c r="J1024" i="1" s="1"/>
  <c r="J1027" i="1" a="1"/>
  <c r="J1027" i="1" s="1"/>
  <c r="K1024" i="1" a="1"/>
  <c r="K1024" i="1" s="1"/>
  <c r="J1008" i="1" a="1"/>
  <c r="J1008" i="1" s="1"/>
  <c r="J1054" i="1" s="1" a="1"/>
  <c r="J1054" i="1" s="1"/>
  <c r="L1008" i="1" a="1"/>
  <c r="L1008" i="1" s="1"/>
  <c r="L1054" i="1" s="1" a="1"/>
  <c r="L1054" i="1" s="1"/>
  <c r="K1008" i="1" a="1"/>
  <c r="K1008" i="1" s="1"/>
  <c r="K1054" i="1" s="1" a="1"/>
  <c r="K1054" i="1" s="1"/>
  <c r="J2274" i="1" a="1"/>
  <c r="J2274" i="1" s="1"/>
  <c r="L2271" i="1" a="1"/>
  <c r="L2271" i="1" s="1"/>
  <c r="J2271" i="1" a="1"/>
  <c r="J2271" i="1" s="1"/>
  <c r="K2263" i="1" a="1"/>
  <c r="K2263" i="1" s="1"/>
  <c r="K2269" i="1" a="1"/>
  <c r="K2269" i="1" s="1"/>
  <c r="L2265" i="1" a="1"/>
  <c r="L2265" i="1" s="1"/>
  <c r="L2275" i="1" a="1"/>
  <c r="L2275" i="1" s="1"/>
  <c r="J2265" i="1" a="1"/>
  <c r="J2265" i="1" s="1"/>
  <c r="J2267" i="1" a="1"/>
  <c r="J2267" i="1" s="1"/>
  <c r="K2275" i="1" a="1"/>
  <c r="K2275" i="1" s="1"/>
  <c r="J2275" i="1" a="1"/>
  <c r="J2275" i="1" s="1"/>
  <c r="L2263" i="1" a="1"/>
  <c r="L2263" i="1" s="1"/>
  <c r="L2269" i="1" a="1"/>
  <c r="L2269" i="1" s="1"/>
  <c r="K2267" i="1" a="1"/>
  <c r="K2267" i="1" s="1"/>
  <c r="K2271" i="1" a="1"/>
  <c r="K2271" i="1" s="1"/>
  <c r="K2265" i="1" a="1"/>
  <c r="K2265" i="1" s="1"/>
  <c r="K2274" i="1" a="1"/>
  <c r="K2274" i="1" s="1"/>
  <c r="L2267" i="1" a="1"/>
  <c r="L2267" i="1" s="1"/>
  <c r="L2274" i="1" a="1"/>
  <c r="L2274" i="1" s="1"/>
  <c r="J2269" i="1" a="1"/>
  <c r="J2269" i="1" s="1"/>
  <c r="L2258" i="1" a="1"/>
  <c r="L2258" i="1" s="1"/>
  <c r="J2258" i="1" a="1"/>
  <c r="J2258" i="1" s="1"/>
  <c r="J2261" i="1" a="1"/>
  <c r="J2261" i="1" s="1"/>
  <c r="K2260" i="1" a="1"/>
  <c r="K2260" i="1" s="1"/>
  <c r="L2260" i="1" a="1"/>
  <c r="L2260" i="1" s="1"/>
  <c r="L2255" i="1" a="1"/>
  <c r="L2255" i="1" s="1"/>
  <c r="J2255" i="1" a="1"/>
  <c r="J2255" i="1" s="1"/>
  <c r="J2260" i="1" a="1"/>
  <c r="J2260" i="1" s="1"/>
  <c r="J2256" i="1" a="1"/>
  <c r="J2256" i="1" s="1"/>
  <c r="L2261" i="1" a="1"/>
  <c r="L2261" i="1" s="1"/>
  <c r="L2252" i="1" a="1"/>
  <c r="L2252" i="1" s="1"/>
  <c r="K2255" i="1" a="1"/>
  <c r="K2255" i="1" s="1"/>
  <c r="L2256" i="1" a="1"/>
  <c r="L2256" i="1" s="1"/>
  <c r="K2258" i="1" a="1"/>
  <c r="K2258" i="1" s="1"/>
  <c r="K2256" i="1" a="1"/>
  <c r="K2256" i="1" s="1"/>
  <c r="K2261" i="1" a="1"/>
  <c r="K2261" i="1" s="1"/>
  <c r="J2263" i="1" a="1"/>
  <c r="J2263" i="1" s="1"/>
  <c r="J2241" i="1" a="1"/>
  <c r="J2241" i="1" s="1"/>
  <c r="K2248" i="1" a="1"/>
  <c r="K2248" i="1" s="1"/>
  <c r="L2250" i="1" a="1"/>
  <c r="L2250" i="1" s="1"/>
  <c r="J2248" i="1" a="1"/>
  <c r="J2248" i="1" s="1"/>
  <c r="L2239" i="1" a="1"/>
  <c r="L2239" i="1" s="1"/>
  <c r="L2242" i="1" a="1"/>
  <c r="L2242" i="1" s="1"/>
  <c r="K2241" i="1" a="1"/>
  <c r="K2241" i="1" s="1"/>
  <c r="L2248" i="1" a="1"/>
  <c r="L2248" i="1" s="1"/>
  <c r="K2246" i="1" a="1"/>
  <c r="K2246" i="1" s="1"/>
  <c r="J2246" i="1" a="1"/>
  <c r="J2246" i="1" s="1"/>
  <c r="L2244" i="1" a="1"/>
  <c r="L2244" i="1" s="1"/>
  <c r="K2239" i="1" a="1"/>
  <c r="K2239" i="1" s="1"/>
  <c r="K2244" i="1" a="1"/>
  <c r="K2244" i="1" s="1"/>
  <c r="J2244" i="1" a="1"/>
  <c r="J2244" i="1" s="1"/>
  <c r="J2239" i="1" a="1"/>
  <c r="J2239" i="1" s="1"/>
  <c r="K2242" i="1" a="1"/>
  <c r="K2242" i="1" s="1"/>
  <c r="J2242" i="1" a="1"/>
  <c r="J2242" i="1" s="1"/>
  <c r="L2237" i="1" a="1"/>
  <c r="L2237" i="1" s="1"/>
  <c r="L2246" i="1" a="1"/>
  <c r="L2246" i="1" s="1"/>
  <c r="K2252" i="1" a="1"/>
  <c r="K2252" i="1" s="1"/>
  <c r="J2252" i="1" a="1"/>
  <c r="J2252" i="1" s="1"/>
  <c r="K2250" i="1" a="1"/>
  <c r="K2250" i="1" s="1"/>
  <c r="J2250" i="1" a="1"/>
  <c r="J2250" i="1" s="1"/>
  <c r="L2241" i="1" a="1"/>
  <c r="L2241" i="1" s="1"/>
  <c r="K2237" i="1" a="1"/>
  <c r="K2237" i="1" s="1"/>
  <c r="J2237" i="1" a="1"/>
  <c r="J2237" i="1" s="1"/>
  <c r="L2236" i="1" a="1"/>
  <c r="L2236" i="1" s="1"/>
  <c r="K2236" i="1" a="1"/>
  <c r="K2236" i="1" s="1"/>
  <c r="J2236" i="1" a="1"/>
  <c r="J223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6" i="1" s="1"/>
  <c r="K787" i="1" s="1"/>
  <c r="J779" i="1"/>
  <c r="J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J134" i="1"/>
  <c r="L133" i="1"/>
  <c r="L140" i="1" s="1" a="1"/>
  <c r="L140" i="1" s="1"/>
  <c r="K133" i="1"/>
  <c r="J133" i="1"/>
  <c r="L132" i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J96" i="1"/>
  <c r="J128" i="1" s="1"/>
  <c r="L95" i="1"/>
  <c r="K95" i="1"/>
  <c r="J95" i="1"/>
  <c r="L94" i="1"/>
  <c r="L126" i="1" s="1"/>
  <c r="K94" i="1"/>
  <c r="K126" i="1" s="1"/>
  <c r="J94" i="1"/>
  <c r="L93" i="1"/>
  <c r="K93" i="1"/>
  <c r="J93" i="1"/>
  <c r="L92" i="1"/>
  <c r="L124" i="1" s="1"/>
  <c r="K92" i="1"/>
  <c r="K124" i="1" s="1"/>
  <c r="J92" i="1"/>
  <c r="J124" i="1" s="1"/>
  <c r="L91" i="1"/>
  <c r="L123" i="1" s="1"/>
  <c r="K91" i="1"/>
  <c r="K123" i="1" s="1"/>
  <c r="J91" i="1"/>
  <c r="J123" i="1" s="1"/>
  <c r="L90" i="1"/>
  <c r="L122" i="1" s="1"/>
  <c r="K90" i="1"/>
  <c r="J90" i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L87" i="1"/>
  <c r="K87" i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4" i="1" a="1"/>
  <c r="K1644" i="1" s="1"/>
  <c r="J1644" i="1" a="1"/>
  <c r="J1644" i="1" s="1"/>
  <c r="J1648" i="1" a="1"/>
  <c r="J1648" i="1" s="1"/>
  <c r="L1644" i="1" a="1"/>
  <c r="L1644" i="1" s="1"/>
  <c r="L1648" i="1" a="1"/>
  <c r="L1648" i="1" s="1"/>
  <c r="K1648" i="1" a="1"/>
  <c r="K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2340" i="1" a="1"/>
  <c r="L2340" i="1" s="1"/>
  <c r="K2338" i="1" a="1"/>
  <c r="K2338" i="1" s="1"/>
  <c r="L2339" i="1" a="1"/>
  <c r="L2339" i="1" s="1"/>
  <c r="K2339" i="1" a="1"/>
  <c r="K2339" i="1" s="1"/>
  <c r="K2337" i="1" a="1"/>
  <c r="K2337" i="1" s="1"/>
  <c r="J2338" i="1" a="1"/>
  <c r="J2338" i="1" s="1"/>
  <c r="L2337" i="1" a="1"/>
  <c r="L2337" i="1" s="1"/>
  <c r="J2337" i="1" a="1"/>
  <c r="J2337" i="1" s="1"/>
  <c r="J2340" i="1" a="1"/>
  <c r="J2340" i="1" s="1"/>
  <c r="K2340" i="1" a="1"/>
  <c r="K2340" i="1" s="1"/>
  <c r="J2339" i="1" a="1"/>
  <c r="J2339" i="1" s="1"/>
  <c r="L2338" i="1" a="1"/>
  <c r="L2338" i="1" s="1"/>
  <c r="K2328" i="1" a="1"/>
  <c r="K2328" i="1" s="1"/>
  <c r="K2334" i="1" a="1"/>
  <c r="K2334" i="1" s="1"/>
  <c r="L2334" i="1" a="1"/>
  <c r="L2334" i="1" s="1"/>
  <c r="J2331" i="1" a="1"/>
  <c r="J2331" i="1" s="1"/>
  <c r="L2328" i="1" a="1"/>
  <c r="L2328" i="1" s="1"/>
  <c r="J2334" i="1" a="1"/>
  <c r="J2334" i="1" s="1"/>
  <c r="L2332" i="1" a="1"/>
  <c r="L2332" i="1" s="1"/>
  <c r="K2333" i="1" a="1"/>
  <c r="K2333" i="1" s="1"/>
  <c r="J2333" i="1" a="1"/>
  <c r="J2333" i="1" s="1"/>
  <c r="J2332" i="1" a="1"/>
  <c r="J2332" i="1" s="1"/>
  <c r="L2336" i="1" a="1"/>
  <c r="L2336" i="1" s="1"/>
  <c r="L2330" i="1" a="1"/>
  <c r="L2330" i="1" s="1"/>
  <c r="K2335" i="1" a="1"/>
  <c r="K2335" i="1" s="1"/>
  <c r="K2331" i="1" a="1"/>
  <c r="K2331" i="1" s="1"/>
  <c r="L2333" i="1" a="1"/>
  <c r="L2333" i="1" s="1"/>
  <c r="J2330" i="1" a="1"/>
  <c r="J2330" i="1" s="1"/>
  <c r="L2331" i="1" a="1"/>
  <c r="L2331" i="1" s="1"/>
  <c r="J2328" i="1" a="1"/>
  <c r="J2328" i="1" s="1"/>
  <c r="K2336" i="1" a="1"/>
  <c r="K2336" i="1" s="1"/>
  <c r="J2336" i="1" a="1"/>
  <c r="J2336" i="1" s="1"/>
  <c r="K2329" i="1" a="1"/>
  <c r="K2329" i="1" s="1"/>
  <c r="J2329" i="1" a="1"/>
  <c r="J2329" i="1" s="1"/>
  <c r="L2335" i="1" a="1"/>
  <c r="L2335" i="1" s="1"/>
  <c r="K2332" i="1" a="1"/>
  <c r="K2332" i="1" s="1"/>
  <c r="J2335" i="1" a="1"/>
  <c r="J2335" i="1" s="1"/>
  <c r="L2329" i="1" a="1"/>
  <c r="L2329" i="1" s="1"/>
  <c r="K2330" i="1" a="1"/>
  <c r="K2330" i="1" s="1"/>
  <c r="J2320" i="1" a="1"/>
  <c r="J2320" i="1" s="1"/>
  <c r="J2319" i="1" s="1" a="1"/>
  <c r="J2319" i="1" s="1"/>
  <c r="K2323" i="1" a="1"/>
  <c r="K2323" i="1" s="1"/>
  <c r="K2322" i="1" s="1" a="1"/>
  <c r="K2322" i="1" s="1"/>
  <c r="J2323" i="1" a="1"/>
  <c r="J2323" i="1" s="1"/>
  <c r="J2322" i="1" s="1" a="1"/>
  <c r="J2322" i="1" s="1"/>
  <c r="L2316" i="1" a="1"/>
  <c r="L2316" i="1" s="1"/>
  <c r="K2320" i="1" a="1"/>
  <c r="K2320" i="1" s="1"/>
  <c r="K2319" i="1" s="1" a="1"/>
  <c r="K2319" i="1" s="1"/>
  <c r="J2325" i="1" a="1"/>
  <c r="J2325" i="1" s="1"/>
  <c r="L2320" i="1" a="1"/>
  <c r="L2320" i="1" s="1"/>
  <c r="L2319" i="1" s="1" a="1"/>
  <c r="L2319" i="1" s="1"/>
  <c r="K2317" i="1" a="1"/>
  <c r="K2317" i="1" s="1"/>
  <c r="J2327" i="1" a="1"/>
  <c r="J2327" i="1" s="1"/>
  <c r="L2327" i="1" a="1"/>
  <c r="L2327" i="1" s="1"/>
  <c r="L2317" i="1" a="1"/>
  <c r="L2317" i="1" s="1"/>
  <c r="K2326" i="1" a="1"/>
  <c r="K2326" i="1" s="1"/>
  <c r="J2317" i="1" a="1"/>
  <c r="J2317" i="1" s="1"/>
  <c r="J2326" i="1" a="1"/>
  <c r="J2326" i="1" s="1"/>
  <c r="K2325" i="1" a="1"/>
  <c r="K2325" i="1" s="1"/>
  <c r="K2327" i="1" a="1"/>
  <c r="K2327" i="1" s="1"/>
  <c r="L2326" i="1" a="1"/>
  <c r="L2326" i="1" s="1"/>
  <c r="L2325" i="1" a="1"/>
  <c r="L2325" i="1" s="1"/>
  <c r="L2323" i="1" a="1"/>
  <c r="L2323" i="1" s="1"/>
  <c r="L2322" i="1" s="1" a="1"/>
  <c r="L2322" i="1" s="1"/>
  <c r="K2316" i="1" a="1"/>
  <c r="K2316" i="1" s="1"/>
  <c r="J2316" i="1" a="1"/>
  <c r="J2316" i="1" s="1"/>
  <c r="J2314" i="1" a="1"/>
  <c r="J2314" i="1" s="1"/>
  <c r="L2314" i="1" a="1"/>
  <c r="L2314" i="1" s="1"/>
  <c r="K2314" i="1" a="1"/>
  <c r="K2314" i="1" s="1"/>
  <c r="K743" i="1" a="1"/>
  <c r="K743" i="1" s="1"/>
  <c r="J743" i="1" a="1"/>
  <c r="J743" i="1" s="1"/>
  <c r="L743" i="1" a="1"/>
  <c r="L743" i="1" s="1"/>
  <c r="K727" i="1" a="1"/>
  <c r="K727" i="1" s="1"/>
  <c r="L740" i="1" a="1"/>
  <c r="L740" i="1" s="1"/>
  <c r="K740" i="1" a="1"/>
  <c r="K740" i="1" s="1"/>
  <c r="J740" i="1" a="1"/>
  <c r="J740" i="1" s="1"/>
  <c r="J727" i="1" a="1"/>
  <c r="J727" i="1" s="1"/>
  <c r="L727" i="1" a="1"/>
  <c r="L727" i="1" s="1"/>
  <c r="K724" i="1" a="1"/>
  <c r="K724" i="1" s="1"/>
  <c r="J724" i="1" a="1"/>
  <c r="J724" i="1" s="1"/>
  <c r="L724" i="1" a="1"/>
  <c r="L724" i="1" s="1"/>
  <c r="J718" i="1" a="1"/>
  <c r="J718" i="1" s="1"/>
  <c r="L720" i="1" a="1"/>
  <c r="L720" i="1" s="1"/>
  <c r="J719" i="1" a="1"/>
  <c r="J719" i="1" s="1"/>
  <c r="L718" i="1" a="1"/>
  <c r="L718" i="1" s="1"/>
  <c r="J720" i="1" a="1"/>
  <c r="J720" i="1" s="1"/>
  <c r="L719" i="1" a="1"/>
  <c r="L719" i="1" s="1"/>
  <c r="K719" i="1" a="1"/>
  <c r="K719" i="1" s="1"/>
  <c r="K718" i="1" a="1"/>
  <c r="K718" i="1" s="1"/>
  <c r="K720" i="1" a="1"/>
  <c r="K720" i="1" s="1"/>
  <c r="J2049" i="1" a="1"/>
  <c r="J2049" i="1" s="1"/>
  <c r="L2048" i="1" a="1"/>
  <c r="L2048" i="1" s="1"/>
  <c r="J2048" i="1" a="1"/>
  <c r="J2048" i="1" s="1"/>
  <c r="L2049" i="1" a="1"/>
  <c r="L2049" i="1" s="1"/>
  <c r="K2048" i="1" a="1"/>
  <c r="K2048" i="1" s="1"/>
  <c r="K2049" i="1" a="1"/>
  <c r="K2049" i="1" s="1"/>
  <c r="L2045" i="1" a="1"/>
  <c r="L2045" i="1" s="1"/>
  <c r="K2045" i="1" a="1"/>
  <c r="K2045" i="1" s="1"/>
  <c r="L2040" i="1" a="1"/>
  <c r="L2040" i="1" s="1"/>
  <c r="L2044" i="1" a="1"/>
  <c r="L2044" i="1" s="1"/>
  <c r="K2041" i="1" a="1"/>
  <c r="K2041" i="1" s="1"/>
  <c r="L2039" i="1" a="1"/>
  <c r="L2039" i="1" s="1"/>
  <c r="L2046" i="1" a="1"/>
  <c r="L2046" i="1" s="1"/>
  <c r="J2039" i="1" a="1"/>
  <c r="J2039" i="1" s="1"/>
  <c r="K2043" i="1" a="1"/>
  <c r="K2043" i="1" s="1"/>
  <c r="J2040" i="1" a="1"/>
  <c r="J2040" i="1" s="1"/>
  <c r="J2041" i="1" a="1"/>
  <c r="J2041" i="1" s="1"/>
  <c r="L2043" i="1" a="1"/>
  <c r="L2043" i="1" s="1"/>
  <c r="K2040" i="1" a="1"/>
  <c r="K2040" i="1" s="1"/>
  <c r="J2044" i="1" a="1"/>
  <c r="J2044" i="1" s="1"/>
  <c r="J2042" i="1" a="1"/>
  <c r="J2042" i="1" s="1"/>
  <c r="K2046" i="1" a="1"/>
  <c r="K2046" i="1" s="1"/>
  <c r="K2039" i="1" a="1"/>
  <c r="K2039" i="1" s="1"/>
  <c r="L2047" i="1" a="1"/>
  <c r="L2047" i="1" s="1"/>
  <c r="K2042" i="1" a="1"/>
  <c r="K2042" i="1" s="1"/>
  <c r="K2047" i="1" a="1"/>
  <c r="K2047" i="1" s="1"/>
  <c r="J2047" i="1" a="1"/>
  <c r="J2047" i="1" s="1"/>
  <c r="J2045" i="1" a="1"/>
  <c r="J2045" i="1" s="1"/>
  <c r="J2046" i="1" a="1"/>
  <c r="J2046" i="1" s="1"/>
  <c r="K2044" i="1" a="1"/>
  <c r="K2044" i="1" s="1"/>
  <c r="J2043" i="1" a="1"/>
  <c r="J2043" i="1" s="1"/>
  <c r="L2042" i="1" a="1"/>
  <c r="L2042" i="1" s="1"/>
  <c r="L2041" i="1" a="1"/>
  <c r="L2041" i="1" s="1"/>
  <c r="K2034" i="1" a="1"/>
  <c r="K2034" i="1" s="1"/>
  <c r="L2035" i="1" a="1"/>
  <c r="L2035" i="1" s="1"/>
  <c r="L2038" i="1" a="1"/>
  <c r="L2038" i="1" s="1"/>
  <c r="K2038" i="1" a="1"/>
  <c r="K2038" i="1" s="1"/>
  <c r="K2035" i="1" a="1"/>
  <c r="K2035" i="1" s="1"/>
  <c r="L2034" i="1" a="1"/>
  <c r="L2034" i="1" s="1"/>
  <c r="J2035" i="1" a="1"/>
  <c r="J2035" i="1" s="1"/>
  <c r="J2038" i="1" a="1"/>
  <c r="J2038" i="1" s="1"/>
  <c r="K2032" i="1" a="1"/>
  <c r="K2032" i="1" s="1"/>
  <c r="K2031" i="1" s="1" a="1"/>
  <c r="K2031" i="1" s="1"/>
  <c r="J2037" i="1" a="1"/>
  <c r="J2037" i="1" s="1"/>
  <c r="L2036" i="1" a="1"/>
  <c r="L2036" i="1" s="1"/>
  <c r="J2034" i="1" a="1"/>
  <c r="J2034" i="1" s="1"/>
  <c r="K2037" i="1" a="1"/>
  <c r="K2037" i="1" s="1"/>
  <c r="L2037" i="1" a="1"/>
  <c r="L2037" i="1" s="1"/>
  <c r="K2036" i="1" a="1"/>
  <c r="K2036" i="1" s="1"/>
  <c r="J2036" i="1" a="1"/>
  <c r="J2036" i="1" s="1"/>
  <c r="L2032" i="1" a="1"/>
  <c r="L2032" i="1" s="1"/>
  <c r="L2031" i="1" s="1" a="1"/>
  <c r="L2031" i="1" s="1"/>
  <c r="J2032" i="1" a="1"/>
  <c r="J2032" i="1" s="1"/>
  <c r="J2031" i="1" s="1" a="1"/>
  <c r="J2031" i="1" s="1"/>
  <c r="L2025" i="1" a="1"/>
  <c r="L2025" i="1" s="1"/>
  <c r="J2029" i="1" a="1"/>
  <c r="J2029" i="1" s="1"/>
  <c r="J2028" i="1" s="1" a="1"/>
  <c r="J2028" i="1" s="1"/>
  <c r="K2029" i="1" a="1"/>
  <c r="K2029" i="1" s="1"/>
  <c r="K2028" i="1" s="1" a="1"/>
  <c r="K2028" i="1" s="1"/>
  <c r="K2023" i="1" a="1"/>
  <c r="K2023" i="1" s="1"/>
  <c r="L2029" i="1" a="1"/>
  <c r="L2029" i="1" s="1"/>
  <c r="L2028" i="1" s="1" a="1"/>
  <c r="L2028" i="1" s="1"/>
  <c r="L2026" i="1" a="1"/>
  <c r="L2026" i="1" s="1"/>
  <c r="K2026" i="1" a="1"/>
  <c r="K2026" i="1" s="1"/>
  <c r="L2023" i="1" a="1"/>
  <c r="L2023" i="1" s="1"/>
  <c r="J2023" i="1" a="1"/>
  <c r="J2023" i="1" s="1"/>
  <c r="J2025" i="1" a="1"/>
  <c r="J2025" i="1" s="1"/>
  <c r="K2025" i="1" a="1"/>
  <c r="K2025" i="1" s="1"/>
  <c r="J2026" i="1" a="1"/>
  <c r="J2026" i="1" s="1"/>
  <c r="J31" i="1" a="1"/>
  <c r="J31" i="1" s="1"/>
  <c r="L31" i="1" a="1"/>
  <c r="L31" i="1" s="1"/>
  <c r="K31" i="1" a="1"/>
  <c r="K31" i="1" s="1"/>
  <c r="L716" i="1" a="1"/>
  <c r="L716" i="1" s="1"/>
  <c r="K716" i="1" a="1"/>
  <c r="K716" i="1" s="1"/>
  <c r="J697" i="1" a="1"/>
  <c r="J697" i="1" s="1"/>
  <c r="K697" i="1" a="1"/>
  <c r="K697" i="1" s="1"/>
  <c r="L697" i="1" a="1"/>
  <c r="L697" i="1" s="1"/>
  <c r="L696" i="1" a="1"/>
  <c r="L696" i="1" s="1"/>
  <c r="K696" i="1" a="1"/>
  <c r="K696" i="1" s="1"/>
  <c r="K709" i="1" a="1"/>
  <c r="K709" i="1" s="1"/>
  <c r="J716" i="1" a="1"/>
  <c r="J716" i="1" s="1"/>
  <c r="L709" i="1" a="1"/>
  <c r="L709" i="1" s="1"/>
  <c r="J709" i="1" a="1"/>
  <c r="J709" i="1" s="1"/>
  <c r="J696" i="1" a="1"/>
  <c r="J696" i="1" s="1"/>
  <c r="L711" i="1" a="1"/>
  <c r="L711" i="1" s="1"/>
  <c r="K711" i="1" a="1"/>
  <c r="K711" i="1" s="1"/>
  <c r="J711" i="1" a="1"/>
  <c r="J711" i="1" s="1"/>
  <c r="K688" i="1" a="1"/>
  <c r="K688" i="1" s="1"/>
  <c r="K682" i="1" a="1"/>
  <c r="K682" i="1" s="1"/>
  <c r="K681" i="1" a="1"/>
  <c r="K681" i="1" s="1"/>
  <c r="J687" i="1" a="1"/>
  <c r="J687" i="1" s="1"/>
  <c r="J685" i="1" a="1"/>
  <c r="J685" i="1" s="1"/>
  <c r="K687" i="1" a="1"/>
  <c r="K687" i="1" s="1"/>
  <c r="L685" i="1" a="1"/>
  <c r="L685" i="1" s="1"/>
  <c r="J682" i="1" a="1"/>
  <c r="J682" i="1" s="1"/>
  <c r="K685" i="1" a="1"/>
  <c r="K685" i="1" s="1"/>
  <c r="K683" i="1" a="1"/>
  <c r="K683" i="1" s="1"/>
  <c r="L681" i="1" a="1"/>
  <c r="L681" i="1" s="1"/>
  <c r="J681" i="1" a="1"/>
  <c r="J681" i="1" s="1"/>
  <c r="L683" i="1" a="1"/>
  <c r="L683" i="1" s="1"/>
  <c r="L682" i="1" a="1"/>
  <c r="L682" i="1" s="1"/>
  <c r="L688" i="1" a="1"/>
  <c r="L688" i="1" s="1"/>
  <c r="L687" i="1" a="1"/>
  <c r="L687" i="1" s="1"/>
  <c r="J683" i="1" a="1"/>
  <c r="J683" i="1" s="1"/>
  <c r="J688" i="1" a="1"/>
  <c r="J688" i="1" s="1"/>
  <c r="K666" i="1" a="1"/>
  <c r="K666" i="1" s="1"/>
  <c r="L665" i="1" a="1"/>
  <c r="L665" i="1" s="1"/>
  <c r="J665" i="1" a="1"/>
  <c r="J665" i="1" s="1"/>
  <c r="J664" i="1" a="1"/>
  <c r="J664" i="1" s="1"/>
  <c r="J666" i="1" a="1"/>
  <c r="J666" i="1" s="1"/>
  <c r="K665" i="1" a="1"/>
  <c r="K665" i="1" s="1"/>
  <c r="L666" i="1" a="1"/>
  <c r="L666" i="1" s="1"/>
  <c r="L664" i="1" a="1"/>
  <c r="L664" i="1" s="1"/>
  <c r="K664" i="1" a="1"/>
  <c r="K664" i="1" s="1"/>
  <c r="L648" i="1" a="1"/>
  <c r="L648" i="1" s="1"/>
  <c r="K650" i="1" a="1"/>
  <c r="K650" i="1" s="1"/>
  <c r="L653" i="1" a="1"/>
  <c r="L653" i="1" s="1"/>
  <c r="K652" i="1" a="1"/>
  <c r="K652" i="1" s="1"/>
  <c r="J648" i="1" a="1"/>
  <c r="J648" i="1" s="1"/>
  <c r="L647" i="1" a="1"/>
  <c r="L647" i="1" s="1"/>
  <c r="K647" i="1" a="1"/>
  <c r="K647" i="1" s="1"/>
  <c r="J647" i="1" a="1"/>
  <c r="J647" i="1" s="1"/>
  <c r="K649" i="1" a="1"/>
  <c r="K649" i="1" s="1"/>
  <c r="K648" i="1" a="1"/>
  <c r="K648" i="1" s="1"/>
  <c r="K653" i="1" a="1"/>
  <c r="K653" i="1" s="1"/>
  <c r="L650" i="1" a="1"/>
  <c r="L650" i="1" s="1"/>
  <c r="L645" i="1" a="1"/>
  <c r="L645" i="1" s="1"/>
  <c r="J653" i="1" a="1"/>
  <c r="J653" i="1" s="1"/>
  <c r="L652" i="1" a="1"/>
  <c r="L652" i="1" s="1"/>
  <c r="J652" i="1" a="1"/>
  <c r="J652" i="1" s="1"/>
  <c r="L649" i="1" a="1"/>
  <c r="L649" i="1" s="1"/>
  <c r="J650" i="1" a="1"/>
  <c r="J650" i="1" s="1"/>
  <c r="J649" i="1" a="1"/>
  <c r="J649" i="1" s="1"/>
  <c r="L639" i="1" a="1"/>
  <c r="L639" i="1" s="1"/>
  <c r="J643" i="1" a="1"/>
  <c r="J643" i="1" s="1"/>
  <c r="L638" i="1" a="1"/>
  <c r="L638" i="1" s="1"/>
  <c r="K638" i="1" a="1"/>
  <c r="K638" i="1" s="1"/>
  <c r="J642" i="1" a="1"/>
  <c r="J642" i="1" s="1"/>
  <c r="K640" i="1" a="1"/>
  <c r="K640" i="1" s="1"/>
  <c r="K642" i="1" a="1"/>
  <c r="K642" i="1" s="1"/>
  <c r="K645" i="1" a="1"/>
  <c r="K645" i="1" s="1"/>
  <c r="J645" i="1" a="1"/>
  <c r="J645" i="1" s="1"/>
  <c r="K639" i="1" a="1"/>
  <c r="K639" i="1" s="1"/>
  <c r="J637" i="1" a="1"/>
  <c r="J637" i="1" s="1"/>
  <c r="J638" i="1" a="1"/>
  <c r="J638" i="1" s="1"/>
  <c r="K637" i="1" a="1"/>
  <c r="K637" i="1" s="1"/>
  <c r="L643" i="1" a="1"/>
  <c r="L643" i="1" s="1"/>
  <c r="J639" i="1" a="1"/>
  <c r="J639" i="1" s="1"/>
  <c r="L642" i="1" a="1"/>
  <c r="L642" i="1" s="1"/>
  <c r="L635" i="1" a="1"/>
  <c r="L635" i="1" s="1"/>
  <c r="K643" i="1" a="1"/>
  <c r="K643" i="1" s="1"/>
  <c r="L637" i="1" a="1"/>
  <c r="L637" i="1" s="1"/>
  <c r="L640" i="1" a="1"/>
  <c r="L640" i="1" s="1"/>
  <c r="J640" i="1" a="1"/>
  <c r="J640" i="1" s="1"/>
  <c r="K633" i="1" a="1"/>
  <c r="K633" i="1" s="1"/>
  <c r="J633" i="1" a="1"/>
  <c r="J633" i="1" s="1"/>
  <c r="K632" i="1" a="1"/>
  <c r="K632" i="1" s="1"/>
  <c r="L628" i="1" a="1"/>
  <c r="L628" i="1" s="1"/>
  <c r="K625" i="1" a="1"/>
  <c r="K625" i="1" s="1"/>
  <c r="J625" i="1" a="1"/>
  <c r="J625" i="1" s="1"/>
  <c r="K629" i="1" a="1"/>
  <c r="K629" i="1" s="1"/>
  <c r="L632" i="1" a="1"/>
  <c r="L632" i="1" s="1"/>
  <c r="J630" i="1" a="1"/>
  <c r="J630" i="1" s="1"/>
  <c r="K627" i="1" a="1"/>
  <c r="K627" i="1" s="1"/>
  <c r="K628" i="1" a="1"/>
  <c r="K628" i="1" s="1"/>
  <c r="K635" i="1" a="1"/>
  <c r="K635" i="1" s="1"/>
  <c r="J629" i="1" a="1"/>
  <c r="J629" i="1" s="1"/>
  <c r="J635" i="1" a="1"/>
  <c r="J635" i="1" s="1"/>
  <c r="L630" i="1" a="1"/>
  <c r="L630" i="1" s="1"/>
  <c r="J632" i="1" a="1"/>
  <c r="J632" i="1" s="1"/>
  <c r="L629" i="1" a="1"/>
  <c r="L629" i="1" s="1"/>
  <c r="J628" i="1" a="1"/>
  <c r="J628" i="1" s="1"/>
  <c r="L627" i="1" a="1"/>
  <c r="L627" i="1" s="1"/>
  <c r="L633" i="1" a="1"/>
  <c r="L633" i="1" s="1"/>
  <c r="K630" i="1" a="1"/>
  <c r="K630" i="1" s="1"/>
  <c r="J627" i="1" a="1"/>
  <c r="J627" i="1" s="1"/>
  <c r="L625" i="1" a="1"/>
  <c r="L625" i="1" s="1"/>
  <c r="L610" i="1" a="1"/>
  <c r="L610" i="1" s="1"/>
  <c r="L618" i="1" a="1"/>
  <c r="L618" i="1" s="1"/>
  <c r="J610" i="1" a="1"/>
  <c r="J610" i="1" s="1"/>
  <c r="L623" i="1" a="1"/>
  <c r="L623" i="1" s="1"/>
  <c r="J620" i="1" a="1"/>
  <c r="J620" i="1" s="1"/>
  <c r="J623" i="1" a="1"/>
  <c r="J623" i="1" s="1"/>
  <c r="K623" i="1" a="1"/>
  <c r="K623" i="1" s="1"/>
  <c r="K610" i="1" a="1"/>
  <c r="K610" i="1" s="1"/>
  <c r="J622" i="1" a="1"/>
  <c r="J622" i="1" s="1"/>
  <c r="J618" i="1" a="1"/>
  <c r="J618" i="1" s="1"/>
  <c r="K618" i="1" a="1"/>
  <c r="K618" i="1" s="1"/>
  <c r="K617" i="1" a="1"/>
  <c r="K617" i="1" s="1"/>
  <c r="K622" i="1" a="1"/>
  <c r="K622" i="1" s="1"/>
  <c r="L622" i="1" a="1"/>
  <c r="L622" i="1" s="1"/>
  <c r="K620" i="1" a="1"/>
  <c r="K620" i="1" s="1"/>
  <c r="L619" i="1" a="1"/>
  <c r="L619" i="1" s="1"/>
  <c r="J619" i="1" a="1"/>
  <c r="J619" i="1" s="1"/>
  <c r="L617" i="1" a="1"/>
  <c r="L617" i="1" s="1"/>
  <c r="L620" i="1" a="1"/>
  <c r="L620" i="1" s="1"/>
  <c r="J617" i="1" a="1"/>
  <c r="J617" i="1" s="1"/>
  <c r="K619" i="1" a="1"/>
  <c r="K619" i="1" s="1"/>
  <c r="J603" i="1" a="1"/>
  <c r="J603" i="1" s="1"/>
  <c r="L607" i="1" a="1"/>
  <c r="L607" i="1" s="1"/>
  <c r="J602" i="1" a="1"/>
  <c r="J602" i="1" s="1"/>
  <c r="J606" i="1" a="1"/>
  <c r="J606" i="1" s="1"/>
  <c r="L609" i="1" a="1"/>
  <c r="L609" i="1" s="1"/>
  <c r="K609" i="1" a="1"/>
  <c r="K609" i="1" s="1"/>
  <c r="J609" i="1" a="1"/>
  <c r="J609" i="1" s="1"/>
  <c r="K596" i="1" a="1"/>
  <c r="K596" i="1" s="1"/>
  <c r="J607" i="1" a="1"/>
  <c r="J607" i="1" s="1"/>
  <c r="K607" i="1" a="1"/>
  <c r="K607" i="1" s="1"/>
  <c r="K595" i="1" a="1"/>
  <c r="K595" i="1" s="1"/>
  <c r="J596" i="1" a="1"/>
  <c r="J596" i="1" s="1"/>
  <c r="K602" i="1" a="1"/>
  <c r="K602" i="1" s="1"/>
  <c r="L603" i="1" a="1"/>
  <c r="L603" i="1" s="1"/>
  <c r="L596" i="1" a="1"/>
  <c r="L596" i="1" s="1"/>
  <c r="K603" i="1" a="1"/>
  <c r="K603" i="1" s="1"/>
  <c r="L606" i="1" a="1"/>
  <c r="L606" i="1" s="1"/>
  <c r="K606" i="1" a="1"/>
  <c r="K606" i="1" s="1"/>
  <c r="L595" i="1" a="1"/>
  <c r="L595" i="1" s="1"/>
  <c r="L602" i="1" a="1"/>
  <c r="L602" i="1" s="1"/>
  <c r="L592" i="1" a="1"/>
  <c r="L592" i="1" s="1"/>
  <c r="J589" i="1" a="1"/>
  <c r="J589" i="1" s="1"/>
  <c r="J595" i="1" a="1"/>
  <c r="J595" i="1" s="1"/>
  <c r="L593" i="1" a="1"/>
  <c r="L593" i="1" s="1"/>
  <c r="L585" i="1" a="1"/>
  <c r="L585" i="1" s="1"/>
  <c r="K584" i="1" a="1"/>
  <c r="K584" i="1" s="1"/>
  <c r="K593" i="1" a="1"/>
  <c r="K593" i="1" s="1"/>
  <c r="J593" i="1" a="1"/>
  <c r="J593" i="1" s="1"/>
  <c r="K592" i="1" a="1"/>
  <c r="K592" i="1" s="1"/>
  <c r="J592" i="1" a="1"/>
  <c r="J592" i="1" s="1"/>
  <c r="L584" i="1" a="1"/>
  <c r="L584" i="1" s="1"/>
  <c r="J585" i="1" a="1"/>
  <c r="J585" i="1" s="1"/>
  <c r="K589" i="1" a="1"/>
  <c r="K589" i="1" s="1"/>
  <c r="L588" i="1" a="1"/>
  <c r="L588" i="1" s="1"/>
  <c r="K588" i="1" a="1"/>
  <c r="K588" i="1" s="1"/>
  <c r="J588" i="1" a="1"/>
  <c r="J588" i="1" s="1"/>
  <c r="J584" i="1" a="1"/>
  <c r="J584" i="1" s="1"/>
  <c r="L589" i="1" a="1"/>
  <c r="L589" i="1" s="1"/>
  <c r="K585" i="1" a="1"/>
  <c r="K585" i="1" s="1"/>
  <c r="K1709" i="1" a="1"/>
  <c r="K1709" i="1" s="1"/>
  <c r="K1708" i="1" a="1"/>
  <c r="K1708" i="1" s="1"/>
  <c r="J1709" i="1" a="1"/>
  <c r="J1709" i="1" s="1"/>
  <c r="J1708" i="1" a="1"/>
  <c r="J1708" i="1" s="1"/>
  <c r="L1709" i="1" a="1"/>
  <c r="L1709" i="1" s="1"/>
  <c r="L1708" i="1" a="1"/>
  <c r="L1708" i="1" s="1"/>
  <c r="L19" i="1"/>
  <c r="L18" i="1" s="1"/>
  <c r="K19" i="1"/>
  <c r="K18" i="1" s="1"/>
  <c r="J19" i="1"/>
  <c r="J18" i="1" s="1"/>
  <c r="J62" i="1" a="1"/>
  <c r="J62" i="1" s="1"/>
  <c r="J55" i="1" a="1"/>
  <c r="J55" i="1" s="1"/>
  <c r="K60" i="1" a="1"/>
  <c r="K60" i="1" s="1"/>
  <c r="J60" i="1" a="1"/>
  <c r="J60" i="1" s="1"/>
  <c r="J59" i="1" a="1"/>
  <c r="J59" i="1" s="1"/>
  <c r="L60" i="1" a="1"/>
  <c r="L60" i="1" s="1"/>
  <c r="K54" i="1" a="1"/>
  <c r="K54" i="1" s="1"/>
  <c r="K59" i="1" a="1"/>
  <c r="K59" i="1" s="1"/>
  <c r="K55" i="1" a="1"/>
  <c r="K55" i="1" s="1"/>
  <c r="L61" i="1" a="1"/>
  <c r="L61" i="1" s="1"/>
  <c r="J61" i="1" a="1"/>
  <c r="J61" i="1" s="1"/>
  <c r="L59" i="1" a="1"/>
  <c r="L59" i="1" s="1"/>
  <c r="L54" i="1" a="1"/>
  <c r="L54" i="1" s="1"/>
  <c r="J54" i="1" a="1"/>
  <c r="J54" i="1" s="1"/>
  <c r="K62" i="1" a="1"/>
  <c r="K62" i="1" s="1"/>
  <c r="K61" i="1" a="1"/>
  <c r="K61" i="1" s="1"/>
  <c r="L55" i="1" a="1"/>
  <c r="L55" i="1" s="1"/>
  <c r="L52" i="1" a="1"/>
  <c r="L52" i="1" s="1"/>
  <c r="K52" i="1" a="1"/>
  <c r="K52" i="1" s="1"/>
  <c r="J52" i="1" a="1"/>
  <c r="J52" i="1" s="1"/>
  <c r="L15" i="1" a="1"/>
  <c r="L15" i="1" s="1"/>
  <c r="K15" i="1" a="1"/>
  <c r="K15" i="1" s="1"/>
  <c r="J15" i="1" a="1"/>
  <c r="J15" i="1" s="1"/>
  <c r="K14" i="1" a="1"/>
  <c r="K14" i="1" s="1"/>
  <c r="L14" i="1" a="1"/>
  <c r="L14" i="1" s="1"/>
  <c r="J13" i="1" a="1"/>
  <c r="J13" i="1" s="1"/>
  <c r="L13" i="1" a="1"/>
  <c r="L13" i="1" s="1"/>
  <c r="K13" i="1" a="1"/>
  <c r="K13" i="1" s="1"/>
  <c r="L53" i="1" a="1"/>
  <c r="L53" i="1" s="1"/>
  <c r="J14" i="1" a="1"/>
  <c r="J14" i="1" s="1"/>
  <c r="J53" i="1" a="1"/>
  <c r="J53" i="1" s="1"/>
  <c r="L62" i="1" a="1"/>
  <c r="L62" i="1" s="1"/>
  <c r="K53" i="1" a="1"/>
  <c r="K53" i="1" s="1"/>
  <c r="L284" i="1" a="1"/>
  <c r="L284" i="1" s="1"/>
  <c r="L283" i="1" s="1"/>
  <c r="J284" i="1" a="1"/>
  <c r="J284" i="1" s="1"/>
  <c r="K284" i="1" a="1"/>
  <c r="K284" i="1" s="1"/>
  <c r="K283" i="1" s="1"/>
  <c r="J242" i="1" a="1"/>
  <c r="J242" i="1" s="1"/>
  <c r="J241" i="1" s="1"/>
  <c r="J275" i="1" a="1"/>
  <c r="J275" i="1" s="1"/>
  <c r="L275" i="1" a="1"/>
  <c r="L275" i="1" s="1"/>
  <c r="L274" i="1" s="1"/>
  <c r="K275" i="1" a="1"/>
  <c r="K275" i="1" s="1"/>
  <c r="K274" i="1" s="1"/>
  <c r="K242" i="1" a="1"/>
  <c r="K242" i="1" s="1"/>
  <c r="L242" i="1" a="1"/>
  <c r="L242" i="1" s="1"/>
  <c r="L241" i="1" s="1"/>
  <c r="J199" i="1" a="1"/>
  <c r="J199" i="1" s="1"/>
  <c r="J198" i="1" s="1"/>
  <c r="K199" i="1" a="1"/>
  <c r="K199" i="1" s="1"/>
  <c r="K198" i="1" s="1"/>
  <c r="L199" i="1" a="1"/>
  <c r="L199" i="1" s="1"/>
  <c r="J140" i="1" a="1"/>
  <c r="J140" i="1" s="1"/>
  <c r="K138" i="1" a="1"/>
  <c r="K138" i="1" s="1"/>
  <c r="J141" i="1" a="1"/>
  <c r="J141" i="1" s="1"/>
  <c r="L139" i="1" a="1"/>
  <c r="L139" i="1" s="1"/>
  <c r="K140" i="1" a="1"/>
  <c r="K140" i="1" s="1"/>
  <c r="K141" i="1" a="1"/>
  <c r="K141" i="1" s="1"/>
  <c r="K56" i="1" a="1"/>
  <c r="K56" i="1" s="1"/>
  <c r="J56" i="1" a="1"/>
  <c r="J56" i="1" s="1"/>
  <c r="L56" i="1" a="1"/>
  <c r="L56" i="1" s="1"/>
  <c r="J44" i="1" a="1"/>
  <c r="J44" i="1" s="1"/>
  <c r="J50" i="1" a="1"/>
  <c r="J50" i="1" s="1"/>
  <c r="K44" i="1" a="1"/>
  <c r="K44" i="1" s="1"/>
  <c r="L50" i="1" a="1"/>
  <c r="L50" i="1" s="1"/>
  <c r="J43" i="1" a="1"/>
  <c r="J43" i="1" s="1"/>
  <c r="K50" i="1" a="1"/>
  <c r="K50" i="1" s="1"/>
  <c r="K43" i="1" a="1"/>
  <c r="K43" i="1" s="1"/>
  <c r="L43" i="1" a="1"/>
  <c r="L43" i="1" s="1"/>
  <c r="L45" i="1" a="1"/>
  <c r="L45" i="1" s="1"/>
  <c r="L44" i="1" a="1"/>
  <c r="L44" i="1" s="1"/>
  <c r="J26" i="1" a="1"/>
  <c r="J26" i="1" s="1"/>
  <c r="L27" i="1" a="1"/>
  <c r="L27" i="1" s="1"/>
  <c r="K26" i="1" a="1"/>
  <c r="K26" i="1" s="1"/>
  <c r="L28" i="1" a="1"/>
  <c r="L28" i="1" s="1"/>
  <c r="K27" i="1" a="1"/>
  <c r="K27" i="1" s="1"/>
  <c r="J27" i="1" a="1"/>
  <c r="J27" i="1" s="1"/>
  <c r="K28" i="1" a="1"/>
  <c r="K28" i="1" s="1"/>
  <c r="J28" i="1" a="1"/>
  <c r="J28" i="1" s="1"/>
  <c r="L26" i="1" a="1"/>
  <c r="L26" i="1" s="1"/>
  <c r="L24" i="1" a="1"/>
  <c r="L24" i="1" s="1"/>
  <c r="K17" i="1" a="1"/>
  <c r="K17" i="1" s="1"/>
  <c r="L17" i="1" a="1"/>
  <c r="L17" i="1" s="1"/>
  <c r="J24" i="1" a="1"/>
  <c r="J24" i="1" s="1"/>
  <c r="L16" i="1" a="1"/>
  <c r="L16" i="1" s="1"/>
  <c r="L25" i="1" a="1"/>
  <c r="L25" i="1" s="1"/>
  <c r="J25" i="1" a="1"/>
  <c r="J25" i="1" s="1"/>
  <c r="K25" i="1" a="1"/>
  <c r="K25" i="1" s="1"/>
  <c r="K24" i="1" a="1"/>
  <c r="K24" i="1" s="1"/>
  <c r="K21" i="1" a="1"/>
  <c r="K21" i="1" s="1"/>
  <c r="L21" i="1" a="1"/>
  <c r="L21" i="1" s="1"/>
  <c r="J17" i="1" a="1"/>
  <c r="J17" i="1" s="1"/>
  <c r="K16" i="1" a="1"/>
  <c r="K16" i="1" s="1"/>
  <c r="J16" i="1" a="1"/>
  <c r="J16" i="1" s="1"/>
  <c r="L11" i="1" a="1"/>
  <c r="L11" i="1" s="1"/>
  <c r="K11" i="1" a="1"/>
  <c r="K11" i="1" s="1"/>
  <c r="J9" i="1" a="1"/>
  <c r="J9" i="1" s="1"/>
  <c r="L7" i="1" a="1"/>
  <c r="L7" i="1" s="1"/>
  <c r="K7" i="1" a="1"/>
  <c r="K7" i="1" s="1"/>
  <c r="J7" i="1" a="1"/>
  <c r="J7" i="1" s="1"/>
  <c r="J11" i="1" a="1"/>
  <c r="J11" i="1" s="1"/>
  <c r="L9" i="1" a="1"/>
  <c r="L9" i="1" s="1"/>
  <c r="K10" i="1" a="1"/>
  <c r="K10" i="1" s="1"/>
  <c r="K6" i="1" a="1"/>
  <c r="K6" i="1" s="1"/>
  <c r="J6" i="1" a="1"/>
  <c r="J6" i="1" s="1"/>
  <c r="L6" i="1" a="1"/>
  <c r="L6" i="1" s="1"/>
  <c r="K9" i="1" a="1"/>
  <c r="K9" i="1" s="1"/>
  <c r="J10" i="1" a="1"/>
  <c r="J10" i="1" s="1"/>
  <c r="L10" i="1" a="1"/>
  <c r="L10" i="1" s="1"/>
  <c r="J4" i="1" a="1"/>
  <c r="J4" i="1" s="1"/>
  <c r="K45" i="1" a="1"/>
  <c r="K45" i="1" s="1"/>
  <c r="L5" i="1" a="1"/>
  <c r="L5" i="1" s="1"/>
  <c r="J21" i="1" a="1"/>
  <c r="J21" i="1" s="1"/>
  <c r="K5" i="1" a="1"/>
  <c r="K5" i="1" s="1"/>
  <c r="K4" i="1" a="1"/>
  <c r="K4" i="1" s="1"/>
  <c r="L4" i="1" a="1"/>
  <c r="L4" i="1" s="1"/>
  <c r="J45" i="1" a="1"/>
  <c r="J45" i="1" s="1"/>
  <c r="J5" i="1" a="1"/>
  <c r="J5" i="1" s="1"/>
  <c r="L398" i="1" l="1"/>
  <c r="L439" i="1" s="1"/>
  <c r="K400" i="1"/>
  <c r="K520" i="1" s="1"/>
  <c r="J318" i="1"/>
  <c r="J473" i="1" s="1"/>
  <c r="J323" i="1"/>
  <c r="J478" i="1" s="1"/>
  <c r="K323" i="1"/>
  <c r="K478" i="1" s="1"/>
  <c r="L320" i="1"/>
  <c r="L475" i="1" s="1"/>
  <c r="K319" i="1"/>
  <c r="K474" i="1" s="1"/>
  <c r="K325" i="1"/>
  <c r="K480" i="1" s="1"/>
  <c r="L386" i="1"/>
  <c r="L517" i="1" s="1"/>
  <c r="J398" i="1"/>
  <c r="J439" i="1" s="1"/>
  <c r="K783" i="1"/>
  <c r="L399" i="1"/>
  <c r="L519" i="1" s="1"/>
  <c r="J786" i="1"/>
  <c r="J787" i="1" s="1"/>
  <c r="L321" i="1"/>
  <c r="L476" i="1" s="1"/>
  <c r="J322" i="1"/>
  <c r="J477" i="1" s="1"/>
  <c r="L400" i="1"/>
  <c r="L520" i="1" s="1"/>
  <c r="L742" i="1" a="1"/>
  <c r="L742" i="1" s="1"/>
  <c r="L744" i="1" s="1" a="1"/>
  <c r="L744" i="1" s="1"/>
  <c r="J384" i="1"/>
  <c r="J515" i="1" s="1"/>
  <c r="K324" i="1"/>
  <c r="K479" i="1" s="1"/>
  <c r="L384" i="1"/>
  <c r="L515" i="1" s="1"/>
  <c r="J386" i="1"/>
  <c r="J517" i="1" s="1"/>
  <c r="J315" i="1"/>
  <c r="J420" i="1" s="1"/>
  <c r="K361" i="1"/>
  <c r="K428" i="1" s="1"/>
  <c r="K318" i="1"/>
  <c r="K473" i="1" s="1"/>
  <c r="K386" i="1"/>
  <c r="K517" i="1" s="1"/>
  <c r="L380" i="1"/>
  <c r="L437" i="1" s="1"/>
  <c r="K380" i="1"/>
  <c r="K437" i="1" s="1"/>
  <c r="L316" i="1"/>
  <c r="L471" i="1" s="1"/>
  <c r="J300" i="1"/>
  <c r="J413" i="1" s="1"/>
  <c r="J319" i="1"/>
  <c r="J474" i="1" s="1"/>
  <c r="K300" i="1"/>
  <c r="K413" i="1" s="1"/>
  <c r="J314" i="1"/>
  <c r="J419" i="1" s="1"/>
  <c r="J321" i="1"/>
  <c r="J476" i="1" s="1"/>
  <c r="J400" i="1"/>
  <c r="J520" i="1" s="1"/>
  <c r="K321" i="1"/>
  <c r="K476" i="1" s="1"/>
  <c r="K301" i="1"/>
  <c r="K465" i="1" s="1"/>
  <c r="L323" i="1"/>
  <c r="L478" i="1" s="1"/>
  <c r="K315" i="1"/>
  <c r="K420" i="1" s="1"/>
  <c r="L315" i="1"/>
  <c r="L420" i="1" s="1"/>
  <c r="L318" i="1"/>
  <c r="L473" i="1" s="1"/>
  <c r="J324" i="1"/>
  <c r="J479" i="1" s="1"/>
  <c r="K399" i="1"/>
  <c r="K519" i="1" s="1"/>
  <c r="L324" i="1"/>
  <c r="L479" i="1" s="1"/>
  <c r="L300" i="1"/>
  <c r="L413" i="1" s="1"/>
  <c r="J380" i="1"/>
  <c r="J437" i="1" s="1"/>
  <c r="K125" i="1"/>
  <c r="L319" i="1"/>
  <c r="L474" i="1" s="1"/>
  <c r="K322" i="1"/>
  <c r="K477" i="1" s="1"/>
  <c r="J325" i="1"/>
  <c r="J480" i="1" s="1"/>
  <c r="J126" i="1"/>
  <c r="L322" i="1"/>
  <c r="L477" i="1" s="1"/>
  <c r="K385" i="1"/>
  <c r="K516" i="1" s="1"/>
  <c r="L385" i="1"/>
  <c r="L516" i="1" s="1"/>
  <c r="K398" i="1"/>
  <c r="K439" i="1" s="1"/>
  <c r="K384" i="1"/>
  <c r="K515" i="1" s="1"/>
  <c r="L325" i="1"/>
  <c r="L480" i="1" s="1"/>
  <c r="J383" i="1"/>
  <c r="J514" i="1" s="1"/>
  <c r="J283" i="1"/>
  <c r="J382" i="1" s="1"/>
  <c r="J513" i="1" s="1"/>
  <c r="K241" i="1"/>
  <c r="K316" i="1" s="1"/>
  <c r="K471" i="1" s="1"/>
  <c r="K317" i="1"/>
  <c r="K472" i="1" s="1"/>
  <c r="J364" i="1"/>
  <c r="J274" i="1"/>
  <c r="J363" i="1" s="1"/>
  <c r="J504" i="1" s="1"/>
  <c r="L383" i="1"/>
  <c r="L514" i="1" s="1"/>
  <c r="K363" i="1"/>
  <c r="K504" i="1" s="1"/>
  <c r="J316" i="1"/>
  <c r="J471" i="1" s="1"/>
  <c r="L363" i="1"/>
  <c r="L504" i="1" s="1"/>
  <c r="K726" i="1" a="1"/>
  <c r="K726" i="1" s="1"/>
  <c r="K728" i="1" s="1" a="1"/>
  <c r="K728" i="1" s="1"/>
  <c r="K742" i="1" a="1"/>
  <c r="K742" i="1" s="1"/>
  <c r="K744" i="1" s="1" a="1"/>
  <c r="K744" i="1" s="1"/>
  <c r="J361" i="1"/>
  <c r="J428" i="1" s="1"/>
  <c r="L198" i="1"/>
  <c r="L361" i="1" s="1"/>
  <c r="L428" i="1" s="1"/>
  <c r="L362" i="1"/>
  <c r="L429" i="1" s="1"/>
  <c r="K364" i="1"/>
  <c r="J726" i="1" a="1"/>
  <c r="J726" i="1" s="1"/>
  <c r="J728" i="1" s="1" a="1"/>
  <c r="J728" i="1" s="1"/>
  <c r="J742" i="1" a="1"/>
  <c r="J742" i="1" s="1"/>
  <c r="J744" i="1" s="1" a="1"/>
  <c r="J744" i="1" s="1"/>
  <c r="L382" i="1"/>
  <c r="L513" i="1" s="1"/>
  <c r="L317" i="1"/>
  <c r="L472" i="1" s="1"/>
  <c r="J362" i="1"/>
  <c r="J429" i="1" s="1"/>
  <c r="K362" i="1"/>
  <c r="K429" i="1" s="1"/>
  <c r="K383" i="1"/>
  <c r="K514" i="1" s="1"/>
  <c r="K320" i="1"/>
  <c r="K475" i="1" s="1"/>
  <c r="L314" i="1"/>
  <c r="L419" i="1" s="1"/>
  <c r="L726" i="1" a="1"/>
  <c r="L726" i="1" s="1"/>
  <c r="L728" i="1" s="1" a="1"/>
  <c r="L728" i="1" s="1"/>
  <c r="J399" i="1"/>
  <c r="J519" i="1" s="1"/>
  <c r="J125" i="1"/>
  <c r="K129" i="1"/>
  <c r="L925" i="1"/>
  <c r="L924" i="1" s="1"/>
  <c r="L903" i="1"/>
  <c r="J122" i="1"/>
  <c r="K903" i="1"/>
  <c r="K902" i="1"/>
  <c r="K925" i="1"/>
  <c r="K924" i="1" s="1"/>
  <c r="K899" i="1"/>
  <c r="K122" i="1"/>
  <c r="L125" i="1"/>
  <c r="K119" i="1"/>
  <c r="L119" i="1"/>
  <c r="J903" i="1"/>
  <c r="J925" i="1"/>
  <c r="J924" i="1" s="1"/>
  <c r="J120" i="1"/>
  <c r="K314" i="1"/>
  <c r="K419" i="1" s="1"/>
  <c r="J317" i="1"/>
  <c r="J472" i="1" s="1"/>
  <c r="L364" i="1"/>
  <c r="K382" i="1"/>
  <c r="K513" i="1" s="1"/>
  <c r="J385" i="1"/>
  <c r="J516" i="1" s="1"/>
  <c r="L783" i="1"/>
  <c r="K128" i="1"/>
  <c r="J320" i="1"/>
  <c r="J475" i="1" s="1"/>
  <c r="J899" i="1"/>
  <c r="L899" i="1"/>
  <c r="L902" i="1"/>
  <c r="J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14" i="1" l="1"/>
  <c r="L1011" i="1" s="1"/>
  <c r="L1004" i="1"/>
  <c r="L1555" i="1"/>
  <c r="L1160" i="1"/>
  <c r="L1602" i="1"/>
  <c r="L1652" i="1"/>
  <c r="L1511" i="1"/>
  <c r="L1653" i="1"/>
  <c r="L1556" i="1"/>
  <c r="L1161" i="1"/>
  <c r="L1603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570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310" i="1"/>
  <c r="L1206" i="1" l="1"/>
  <c r="L1617" i="1"/>
  <c r="L1562" i="1"/>
  <c r="L1344" i="1"/>
  <c r="L1658" i="1"/>
  <c r="L1659" i="1" s="1"/>
  <c r="L1428" i="1"/>
  <c r="L1563" i="1"/>
  <c r="L1415" i="1"/>
  <c r="L1331" i="1"/>
  <c r="L1184" i="1"/>
  <c r="L1610" i="1"/>
  <c r="L1345" i="1"/>
  <c r="L1618" i="1"/>
  <c r="L1429" i="1"/>
  <c r="L1571" i="1"/>
  <c r="L1207" i="1"/>
  <c r="L1609" i="1"/>
  <c r="L141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H1571" i="1"/>
  <c r="G1571" i="1"/>
  <c r="F1618" i="1"/>
  <c r="H1618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I1556" i="1"/>
  <c r="H1603" i="1"/>
  <c r="H1563" i="1"/>
  <c r="F1556" i="1"/>
  <c r="G1556" i="1"/>
  <c r="I1610" i="1"/>
  <c r="G1603" i="1"/>
  <c r="I1603" i="1"/>
  <c r="F1603" i="1"/>
  <c r="G1563" i="1"/>
  <c r="F1610" i="1"/>
  <c r="H1556" i="1"/>
  <c r="F1563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415" i="1"/>
  <c r="H1429" i="1"/>
  <c r="F1512" i="1"/>
  <c r="H1415" i="1"/>
  <c r="I1429" i="1"/>
  <c r="G1512" i="1"/>
  <c r="F1429" i="1"/>
  <c r="I1415" i="1"/>
  <c r="I1512" i="1"/>
  <c r="G1415" i="1"/>
  <c r="H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F1345" i="1"/>
  <c r="H1345" i="1"/>
  <c r="I1331" i="1"/>
  <c r="F1331" i="1"/>
  <c r="I1345" i="1"/>
  <c r="H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184" i="1"/>
  <c r="I1184" i="1"/>
  <c r="F1207" i="1"/>
  <c r="H1184" i="1"/>
  <c r="G1207" i="1"/>
  <c r="F1184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/>
  <c r="J758" i="1" s="1"/>
  <c r="J736" i="1"/>
  <c r="J737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45" i="1" l="1"/>
  <c r="J759" i="1"/>
  <c r="J762" i="1"/>
  <c r="J747" i="1"/>
  <c r="J748" i="1"/>
  <c r="J761" i="1"/>
  <c r="J760" i="1"/>
  <c r="J75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207" i="1"/>
  <c r="K1618" i="1"/>
  <c r="K1429" i="1"/>
  <c r="K1345" i="1"/>
  <c r="K1571" i="1"/>
  <c r="K1206" i="1"/>
  <c r="K1570" i="1"/>
  <c r="K1617" i="1"/>
  <c r="K1428" i="1"/>
  <c r="J1207" i="1"/>
  <c r="J1571" i="1"/>
  <c r="J1618" i="1"/>
  <c r="J1429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G1159" i="1" s="1"/>
  <c r="G1158" i="1" s="1"/>
  <c r="F1652" i="1"/>
  <c r="F1555" i="1"/>
  <c r="F1602" i="1"/>
  <c r="F1511" i="1"/>
  <c r="F1160" i="1"/>
  <c r="I1652" i="1"/>
  <c r="I1602" i="1"/>
  <c r="I1601" i="1" s="1"/>
  <c r="I1600" i="1" s="1"/>
  <c r="I1555" i="1"/>
  <c r="I1511" i="1"/>
  <c r="I1160" i="1"/>
  <c r="I1159" i="1" s="1"/>
  <c r="I1158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8" i="1"/>
  <c r="F1659" i="1" s="1"/>
  <c r="F1609" i="1"/>
  <c r="F1562" i="1"/>
  <c r="F1414" i="1"/>
  <c r="F1330" i="1"/>
  <c r="F1329" i="1" s="1"/>
  <c r="F1328" i="1" s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G1651" i="1"/>
  <c r="G1601" i="1"/>
  <c r="G1600" i="1" s="1"/>
  <c r="G1554" i="1"/>
  <c r="G1553" i="1" s="1"/>
  <c r="G1510" i="1"/>
  <c r="G1509" i="1" s="1"/>
  <c r="F1561" i="1"/>
  <c r="F1560" i="1" s="1"/>
  <c r="F1413" i="1"/>
  <c r="F1412" i="1" s="1"/>
  <c r="F1651" i="1"/>
  <c r="F1601" i="1"/>
  <c r="F1600" i="1" s="1"/>
  <c r="F1554" i="1"/>
  <c r="F1553" i="1" s="1"/>
  <c r="F1510" i="1"/>
  <c r="F1509" i="1" s="1"/>
  <c r="F1159" i="1"/>
  <c r="F1158" i="1" s="1"/>
  <c r="F1182" i="1"/>
  <c r="F1181" i="1" s="1"/>
  <c r="I1561" i="1"/>
  <c r="I1560" i="1" s="1"/>
  <c r="I1651" i="1"/>
  <c r="I1554" i="1"/>
  <c r="I1553" i="1" s="1"/>
  <c r="I1510" i="1"/>
  <c r="I1509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02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J1609" i="1"/>
  <c r="K1330" i="1"/>
  <c r="K1160" i="1"/>
  <c r="K1609" i="1"/>
  <c r="K1511" i="1"/>
  <c r="K1414" i="1"/>
  <c r="K1602" i="1"/>
  <c r="K1183" i="1"/>
  <c r="K1555" i="1"/>
  <c r="J1658" i="1"/>
  <c r="J1659" i="1" s="1"/>
  <c r="K1562" i="1"/>
  <c r="J1160" i="1"/>
  <c r="J1511" i="1"/>
  <c r="J1555" i="1"/>
  <c r="K1415" i="1"/>
  <c r="K1331" i="1"/>
  <c r="K1563" i="1"/>
  <c r="K1184" i="1"/>
  <c r="K1610" i="1"/>
  <c r="J1512" i="1"/>
  <c r="J1556" i="1"/>
  <c r="J1161" i="1"/>
  <c r="J1603" i="1"/>
  <c r="J1653" i="1"/>
  <c r="J1610" i="1"/>
  <c r="J1415" i="1"/>
  <c r="J1331" i="1"/>
  <c r="J1563" i="1"/>
  <c r="J1184" i="1"/>
  <c r="K1556" i="1"/>
  <c r="K1161" i="1"/>
  <c r="K1603" i="1"/>
  <c r="K1653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<sst xmlns="http://schemas.openxmlformats.org/spreadsheetml/2006/main" count="5204" uniqueCount="2482">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</sst>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2035.xlsx" TargetMode="External"/><Relationship Id="rId2" Type="http://schemas.openxmlformats.org/officeDocument/2006/relationships/externalLinkPath" Target="file:///J:\WP07%20integrated%20modelling\STEM_Results\sps4_bau_bsm_2035.xlsx" TargetMode="External"/><Relationship Id="rId1" Type="http://schemas.openxmlformats.org/officeDocument/2006/relationships/externalLinkPath" Target="/WP07%20integrated%20modelling/STEM_Results/sps4_bau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4_BAU_BSM_NUC_High_2035.xlsx" TargetMode="External"/><Relationship Id="rId2" Type="http://schemas.openxmlformats.org/officeDocument/2006/relationships/externalLinkPath" Target="file:///J:\WP07%20integrated%20modelling\STEM_Results\SPS4_BAU_BSM_NUC_High_2035.xlsx" TargetMode="External"/><Relationship Id="rId1" Type="http://schemas.openxmlformats.org/officeDocument/2006/relationships/externalLinkPath" Target="/WP07%20integrated%20modelling/STEM_Results/SPS4_BAU_BSM_NU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4.3206756886284611E-4</v>
          </cell>
          <cell r="H4">
            <v>2.1042397275022063E-4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1.2088540054653568E-4</v>
          </cell>
          <cell r="H5">
            <v>5.8169832997649135E-5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5.4131746705135136E-5</v>
          </cell>
          <cell r="H6">
            <v>2.5793279081946272E-5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3.401980449839174E-5</v>
          </cell>
          <cell r="H7">
            <v>1.9852345265649295E-5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5.4572111136989441E-5</v>
          </cell>
          <cell r="H8">
            <v>2.6028137699547872E-5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5.4805960482765663E-5</v>
          </cell>
          <cell r="H9">
            <v>2.6351940743499934E-5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5.9504279591303781E-5</v>
          </cell>
          <cell r="H10">
            <v>2.8395962653952722E-5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5.4109915438081337E-5</v>
          </cell>
          <cell r="H11">
            <v>2.5790314020500607E-5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1.2730921389202702E-3</v>
          </cell>
          <cell r="G12">
            <v>1.4745017561543982E-3</v>
          </cell>
          <cell r="H12">
            <v>1.49723696364254E-3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1.2730921389202702E-3</v>
          </cell>
          <cell r="G13">
            <v>1.4745017561543982E-3</v>
          </cell>
          <cell r="H13">
            <v>1.49723696364254E-3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1.5675425241751701E-4</v>
          </cell>
          <cell r="G14">
            <v>5.6821825049935403E-7</v>
          </cell>
          <cell r="H14">
            <v>0.20799526845683999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1.5675425241751701E-4</v>
          </cell>
          <cell r="G15">
            <v>1.5675425241751701E-4</v>
          </cell>
          <cell r="H15">
            <v>1.5675425241751701E-4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3.2682136058828681</v>
          </cell>
          <cell r="F16">
            <v>3.831986286663092</v>
          </cell>
          <cell r="G16">
            <v>0.6412147215463202</v>
          </cell>
          <cell r="H16">
            <v>1.0213163885204479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3.2682136058828681</v>
          </cell>
          <cell r="F17">
            <v>3.831986286663092</v>
          </cell>
          <cell r="G17">
            <v>0.6412147215463202</v>
          </cell>
          <cell r="H17">
            <v>1.0213163885204479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0.66996706142721818</v>
          </cell>
          <cell r="F18">
            <v>0.16578928313456487</v>
          </cell>
          <cell r="G18">
            <v>0.95518478301099263</v>
          </cell>
          <cell r="H18">
            <v>1.4159657289009404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2.0850321483445735</v>
          </cell>
          <cell r="F19">
            <v>0.48314113314136042</v>
          </cell>
          <cell r="G19">
            <v>2.4999650000088001</v>
          </cell>
          <cell r="H19">
            <v>3.0052098230117936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108.17302359460299</v>
          </cell>
          <cell r="F20">
            <v>26.565973380236301</v>
          </cell>
          <cell r="G20">
            <v>151.773640754973</v>
          </cell>
          <cell r="H20">
            <v>221.83779022111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1.9179614112518257</v>
          </cell>
          <cell r="F21">
            <v>0.47102789681270035</v>
          </cell>
          <cell r="G21">
            <v>2.6910219992016531</v>
          </cell>
          <cell r="H21">
            <v>3.9332941528565617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1.6531589830338499E-7</v>
          </cell>
          <cell r="G22">
            <v>6.4758760470310199E-3</v>
          </cell>
          <cell r="H22">
            <v>3.7022233279364401E-2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5.3315818187333205E-2</v>
          </cell>
          <cell r="F23">
            <v>3.9432518674767505E-2</v>
          </cell>
          <cell r="G23">
            <v>4.5908271928096739E-2</v>
          </cell>
          <cell r="H23">
            <v>5.5468315607730634E-2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6.7990987403794056</v>
          </cell>
          <cell r="F24">
            <v>1.3674047949247017E-4</v>
          </cell>
          <cell r="G24">
            <v>1.1145174263870686E-4</v>
          </cell>
          <cell r="H24">
            <v>4.8196316443690645E-5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6.7990987403794056</v>
          </cell>
          <cell r="F25">
            <v>1.3674047949247017E-4</v>
          </cell>
          <cell r="G25">
            <v>1.1145174263870686E-4</v>
          </cell>
          <cell r="H25">
            <v>4.8196316443690645E-5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2.6166308119130603E-7</v>
          </cell>
          <cell r="F26">
            <v>2.17040557034981E-7</v>
          </cell>
          <cell r="G26">
            <v>2.4323673576265202E-7</v>
          </cell>
          <cell r="H26">
            <v>2.51024642345769E-7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1.4617954033462772</v>
          </cell>
          <cell r="F27">
            <v>1.4601372660005829E-4</v>
          </cell>
          <cell r="G27">
            <v>1.4167564825995349E-4</v>
          </cell>
          <cell r="H27">
            <v>1.3569712117278421E-4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3.969166433433502E-4</v>
          </cell>
          <cell r="F28">
            <v>3.9456757781399274E-4</v>
          </cell>
          <cell r="G28">
            <v>0.19215144118163996</v>
          </cell>
          <cell r="H28">
            <v>9.4047293753573374E-2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3.9691664334334993E-4</v>
          </cell>
          <cell r="F29">
            <v>3.9456757781399236E-4</v>
          </cell>
          <cell r="G29">
            <v>0.19215144118163985</v>
          </cell>
          <cell r="H29">
            <v>9.4047293753573305E-2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4.4223944473081438E-4</v>
          </cell>
          <cell r="F30">
            <v>4.3895264775452032E-4</v>
          </cell>
          <cell r="G30">
            <v>0.21249374162385173</v>
          </cell>
          <cell r="H30">
            <v>0.10400390048488352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4.4223944473081438E-4</v>
          </cell>
          <cell r="F31">
            <v>4.3895264775452032E-4</v>
          </cell>
          <cell r="G31">
            <v>0.21249374162385173</v>
          </cell>
          <cell r="H31">
            <v>0.10400390048488352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1.59257725138859E-4</v>
          </cell>
          <cell r="F32">
            <v>2.62092700841697E-7</v>
          </cell>
          <cell r="G32">
            <v>0.123928278686293</v>
          </cell>
          <cell r="H32">
            <v>8.6329915471033795E-4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1.6163549904325657E-4</v>
          </cell>
          <cell r="F33">
            <v>1.6183151654969709E-4</v>
          </cell>
          <cell r="G33">
            <v>0.12408998844761741</v>
          </cell>
          <cell r="H33">
            <v>0.12490816930700231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1.4448638516746446E-5</v>
          </cell>
          <cell r="F34">
            <v>2.862351909161301E-5</v>
          </cell>
          <cell r="G34">
            <v>9.8852142931775092E-2</v>
          </cell>
          <cell r="H34">
            <v>3.1037823405594733E-5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1.444863851674642E-5</v>
          </cell>
          <cell r="F35">
            <v>2.8600142219300908E-5</v>
          </cell>
          <cell r="G35">
            <v>9.8726056014770164E-2</v>
          </cell>
          <cell r="H35">
            <v>3.1037823405594773E-5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1.1891882159410587E-5</v>
          </cell>
          <cell r="F36">
            <v>3.5069546997795379E-5</v>
          </cell>
          <cell r="G36">
            <v>0.11767751191026402</v>
          </cell>
          <cell r="H36">
            <v>3.1037823405594733E-5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1.1891882159410587E-5</v>
          </cell>
          <cell r="F37">
            <v>3.5069546997795379E-5</v>
          </cell>
          <cell r="G37">
            <v>0.11767751191026402</v>
          </cell>
          <cell r="H37">
            <v>3.1037823405594733E-5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1.7759357005134699E-3</v>
          </cell>
          <cell r="F38">
            <v>3.2917594169950203E-5</v>
          </cell>
          <cell r="G38">
            <v>4.4027386838659897E-3</v>
          </cell>
          <cell r="H38">
            <v>2.22855969928095E-6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1.7759357005134699E-3</v>
          </cell>
          <cell r="F39">
            <v>1.8079479003782137E-3</v>
          </cell>
          <cell r="G39">
            <v>6.2088568470178001E-3</v>
          </cell>
          <cell r="H39">
            <v>7.4630874536146981E-4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2.4367850663119578E-4</v>
          </cell>
          <cell r="H40">
            <v>1.3392233204101331E-4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6.82988171702124E-5</v>
          </cell>
          <cell r="H41">
            <v>3.9847643947381115E-5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2.8351272715875209E-5</v>
          </cell>
          <cell r="H42">
            <v>1.4325501539252006E-5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2.0329863786644203E-5</v>
          </cell>
          <cell r="H43">
            <v>1.2171475184148827E-5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2.851991135941517E-5</v>
          </cell>
          <cell r="H44">
            <v>1.4423167013536172E-5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3.4008117407637456E-5</v>
          </cell>
          <cell r="H45">
            <v>1.8615771316451556E-5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3.5780101532854721E-5</v>
          </cell>
          <cell r="H46">
            <v>2.0179203005833285E-5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2.8342908698105549E-5</v>
          </cell>
          <cell r="H47">
            <v>1.4318876651934956E-5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E48">
            <v>3.9501986098739068E-4</v>
          </cell>
          <cell r="F48">
            <v>3.9270108512070234E-4</v>
          </cell>
          <cell r="G48">
            <v>0.11085669778146742</v>
          </cell>
          <cell r="H48">
            <v>0.19966215499985185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E49">
            <v>3.9501986098739036E-4</v>
          </cell>
          <cell r="F49">
            <v>3.927010851207019E-4</v>
          </cell>
          <cell r="G49">
            <v>0.11085669778146721</v>
          </cell>
          <cell r="H49">
            <v>0.19966215499985171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E50">
            <v>4.3815987883659603E-4</v>
          </cell>
          <cell r="F50">
            <v>4.369092048283886E-4</v>
          </cell>
          <cell r="G50">
            <v>0.12259288657356644</v>
          </cell>
          <cell r="H50">
            <v>0.22079967206576276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E51">
            <v>4.3815987883659603E-4</v>
          </cell>
          <cell r="F51">
            <v>4.369092048283886E-4</v>
          </cell>
          <cell r="G51">
            <v>0.12259288657356644</v>
          </cell>
          <cell r="H51">
            <v>0.22079967206576276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E52">
            <v>1.5873746779717E-4</v>
          </cell>
          <cell r="F52">
            <v>2.6147105143463598E-7</v>
          </cell>
          <cell r="G52">
            <v>6.9322770828444E-2</v>
          </cell>
          <cell r="H52">
            <v>8.3760384804503901E-2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E53">
            <v>1.6085671997848882E-4</v>
          </cell>
          <cell r="F53">
            <v>1.6105266035990667E-4</v>
          </cell>
          <cell r="G53">
            <v>6.9483698079187403E-2</v>
          </cell>
          <cell r="H53">
            <v>0.15319936296179992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F54">
            <v>5.4466912307558943E-2</v>
          </cell>
          <cell r="G54">
            <v>4.5359512516003819E-3</v>
          </cell>
          <cell r="H54">
            <v>7.2450137821379679E-3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E55">
            <v>3.4405829122846385</v>
          </cell>
          <cell r="F55">
            <v>3.8270025880469305</v>
          </cell>
          <cell r="G55">
            <v>4.9258931786716271</v>
          </cell>
          <cell r="H55">
            <v>5.4323626322235707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E56">
            <v>3.1851518058627155</v>
          </cell>
          <cell r="F56">
            <v>3.5391915500075863</v>
          </cell>
          <cell r="G56">
            <v>1.5971885108083126</v>
          </cell>
          <cell r="H56">
            <v>1.7867662230163122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E57">
            <v>1.7142689463467711</v>
          </cell>
          <cell r="F57">
            <v>1.895533180833366</v>
          </cell>
          <cell r="G57">
            <v>1.7514153011695983</v>
          </cell>
          <cell r="H57">
            <v>2.1164551236835485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F58">
            <v>0.35009850779942164</v>
          </cell>
          <cell r="G58">
            <v>6.6180697507705305E-2</v>
          </cell>
          <cell r="H58">
            <v>0.12353563890355469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E59">
            <v>9.2187320999557674</v>
          </cell>
          <cell r="F59">
            <v>10.684707090469541</v>
          </cell>
          <cell r="G59">
            <v>9.2039326064743285</v>
          </cell>
          <cell r="H59">
            <v>10.401934169042013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E60">
            <v>0.62767177786702899</v>
          </cell>
          <cell r="F60">
            <v>7.4321961206517696E-8</v>
          </cell>
          <cell r="G60">
            <v>1.49507302811985E-8</v>
          </cell>
          <cell r="H60">
            <v>1.7260486465908401E-8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E61">
            <v>0.62767177786702899</v>
          </cell>
          <cell r="F61">
            <v>0.62767185218899002</v>
          </cell>
          <cell r="G61">
            <v>0.62767186713972101</v>
          </cell>
          <cell r="H61">
            <v>0.62767188440020705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E62">
            <v>1.8196092038772166E-3</v>
          </cell>
          <cell r="F62">
            <v>5.4056378923391923E-5</v>
          </cell>
          <cell r="G62">
            <v>1.0313500419235982E-3</v>
          </cell>
          <cell r="H62">
            <v>5.5751454563423918E-5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E63">
            <v>1.8196092038772216E-3</v>
          </cell>
          <cell r="F63">
            <v>5.4020365346494412E-5</v>
          </cell>
          <cell r="G63">
            <v>1.0302768368851776E-3</v>
          </cell>
          <cell r="H63">
            <v>5.5751454563423918E-5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E64">
            <v>2.4320915483500788E-3</v>
          </cell>
          <cell r="F64">
            <v>7.1106168734625739E-5</v>
          </cell>
          <cell r="G64">
            <v>1.32928776184809E-3</v>
          </cell>
          <cell r="H64">
            <v>4.2958380934105356E-5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E65">
            <v>2.4320915483500788E-3</v>
          </cell>
          <cell r="F65">
            <v>7.1106168734625739E-5</v>
          </cell>
          <cell r="G65">
            <v>1.32928776184809E-3</v>
          </cell>
          <cell r="H65">
            <v>4.2958380934105356E-5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E66">
            <v>5.9237853670209505E-4</v>
          </cell>
          <cell r="F66">
            <v>7.8546969710474106E-6</v>
          </cell>
          <cell r="G66">
            <v>5.8403699886896E-6</v>
          </cell>
          <cell r="H66">
            <v>3.5703390139044498E-6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E67">
            <v>5.9237853670209505E-4</v>
          </cell>
          <cell r="F67">
            <v>5.9918782105034267E-4</v>
          </cell>
          <cell r="G67">
            <v>6.0148680218529522E-4</v>
          </cell>
          <cell r="H67">
            <v>5.783141317494176E-4</v>
          </cell>
        </row>
        <row r="68">
          <cell r="B68" t="str">
            <v>RHNS-CHPWOD</v>
          </cell>
          <cell r="C68" t="str">
            <v>VAR_ncap</v>
          </cell>
          <cell r="D68" t="str">
            <v>-</v>
          </cell>
          <cell r="H68">
            <v>1.08904643013487E-6</v>
          </cell>
        </row>
        <row r="69">
          <cell r="B69" t="str">
            <v>RHNS-CHPWOD</v>
          </cell>
          <cell r="C69" t="str">
            <v>VAR_cap</v>
          </cell>
          <cell r="D69" t="str">
            <v>-</v>
          </cell>
          <cell r="H69">
            <v>1.08904643013487E-6</v>
          </cell>
        </row>
        <row r="70">
          <cell r="B70" t="str">
            <v>D-ICOA</v>
          </cell>
          <cell r="C70" t="str">
            <v>VAR_fout</v>
          </cell>
          <cell r="D70" t="str">
            <v>ICOA</v>
          </cell>
          <cell r="E70">
            <v>3.5600044603966894</v>
          </cell>
          <cell r="F70">
            <v>3.464717415452482</v>
          </cell>
          <cell r="G70">
            <v>3.3403267487415373</v>
          </cell>
          <cell r="H70">
            <v>2.3688697598404625E-4</v>
          </cell>
        </row>
        <row r="71">
          <cell r="B71" t="str">
            <v>D-ICOA</v>
          </cell>
          <cell r="C71" t="str">
            <v>VAR_fout</v>
          </cell>
          <cell r="D71" t="str">
            <v>CO2</v>
          </cell>
          <cell r="E71">
            <v>330.012413478773</v>
          </cell>
          <cell r="F71">
            <v>321.17930441244499</v>
          </cell>
          <cell r="G71">
            <v>309.64828960834097</v>
          </cell>
          <cell r="H71">
            <v>2.1959422673721099E-2</v>
          </cell>
        </row>
        <row r="72">
          <cell r="B72" t="str">
            <v>D-ICOA</v>
          </cell>
          <cell r="C72" t="str">
            <v>VAR_fin</v>
          </cell>
          <cell r="D72" t="str">
            <v>COA</v>
          </cell>
          <cell r="E72">
            <v>3.5600044603966894</v>
          </cell>
          <cell r="F72">
            <v>3.464717415452482</v>
          </cell>
          <cell r="G72">
            <v>3.3403267487415373</v>
          </cell>
          <cell r="H72">
            <v>2.3688697598404625E-4</v>
          </cell>
        </row>
        <row r="73">
          <cell r="B73" t="str">
            <v>RHNM-SHSTG-CHPWOD</v>
          </cell>
          <cell r="C73" t="str">
            <v>VAR_fout</v>
          </cell>
          <cell r="D73" t="str">
            <v>RHNM_LTH_CHPWOD</v>
          </cell>
          <cell r="E73">
            <v>1.2413416242418532E-4</v>
          </cell>
          <cell r="F73">
            <v>6.1442649159867542E-5</v>
          </cell>
          <cell r="G73">
            <v>2.9263252819419206E-5</v>
          </cell>
          <cell r="H73">
            <v>5.669791419210404E-5</v>
          </cell>
        </row>
        <row r="74">
          <cell r="B74" t="str">
            <v>RHNM-SHSTG-CHPWOD</v>
          </cell>
          <cell r="C74" t="str">
            <v>VAR_fout</v>
          </cell>
          <cell r="D74" t="str">
            <v>AUX_RNM-CHPWOD_OUT</v>
          </cell>
          <cell r="E74">
            <v>1.2413416242418565E-4</v>
          </cell>
          <cell r="F74">
            <v>6.1401714683411969E-5</v>
          </cell>
          <cell r="G74">
            <v>2.9232801984019241E-5</v>
          </cell>
          <cell r="H74">
            <v>5.669791419210404E-5</v>
          </cell>
        </row>
        <row r="75">
          <cell r="B75" t="str">
            <v>RHNM-SHSTG-CHPWOD</v>
          </cell>
          <cell r="C75" t="str">
            <v>VAR_fin</v>
          </cell>
          <cell r="D75" t="str">
            <v>RHNM_LTH_CHPWOD</v>
          </cell>
          <cell r="E75">
            <v>9.8785520865706872E-5</v>
          </cell>
          <cell r="F75">
            <v>3.9556831699373866E-5</v>
          </cell>
          <cell r="G75">
            <v>2.3457637800245604E-5</v>
          </cell>
          <cell r="H75">
            <v>4.3541441672275754E-5</v>
          </cell>
        </row>
        <row r="76">
          <cell r="B76" t="str">
            <v>RHNM-SHSTG-CHPWOD</v>
          </cell>
          <cell r="C76" t="str">
            <v>VAR_fin</v>
          </cell>
          <cell r="D76" t="str">
            <v>AUX_RNM-CHPWOD_IN</v>
          </cell>
          <cell r="E76">
            <v>9.8785520865706872E-5</v>
          </cell>
          <cell r="F76">
            <v>3.9556831699373866E-5</v>
          </cell>
          <cell r="G76">
            <v>2.3457637800245604E-5</v>
          </cell>
          <cell r="H76">
            <v>4.3541441672275754E-5</v>
          </cell>
        </row>
        <row r="77">
          <cell r="B77" t="str">
            <v>RHNM-SHSTG-CHPWOD</v>
          </cell>
          <cell r="C77" t="str">
            <v>VAR_ncap</v>
          </cell>
          <cell r="D77" t="str">
            <v>-</v>
          </cell>
          <cell r="E77">
            <v>5.5446763063788903E-4</v>
          </cell>
          <cell r="F77">
            <v>1.2574029904817301E-5</v>
          </cell>
          <cell r="G77">
            <v>1.24598819037622E-5</v>
          </cell>
          <cell r="H77">
            <v>8.4153436969631898E-6</v>
          </cell>
        </row>
        <row r="78">
          <cell r="B78" t="str">
            <v>RHNM-SHSTG-CHPWOD</v>
          </cell>
          <cell r="C78" t="str">
            <v>VAR_cap</v>
          </cell>
          <cell r="D78" t="str">
            <v>-</v>
          </cell>
          <cell r="E78">
            <v>5.5446763063788903E-4</v>
          </cell>
          <cell r="F78">
            <v>5.6532252900326865E-4</v>
          </cell>
          <cell r="G78">
            <v>5.724777787629022E-4</v>
          </cell>
          <cell r="H78">
            <v>5.6851705062965167E-4</v>
          </cell>
        </row>
        <row r="79">
          <cell r="B79" t="str">
            <v>ENGA-CCS</v>
          </cell>
          <cell r="C79" t="str">
            <v>VAR_fout</v>
          </cell>
          <cell r="D79" t="str">
            <v>CO2_E</v>
          </cell>
        </row>
        <row r="80">
          <cell r="B80" t="str">
            <v>ENGA-CCS</v>
          </cell>
          <cell r="C80" t="str">
            <v>VAR_fin</v>
          </cell>
          <cell r="D80" t="str">
            <v>ENGA</v>
          </cell>
        </row>
        <row r="81">
          <cell r="B81" t="str">
            <v>RHNS-CHPGFC</v>
          </cell>
          <cell r="C81" t="str">
            <v>VAR_ncap</v>
          </cell>
          <cell r="D81" t="str">
            <v>-</v>
          </cell>
          <cell r="H81">
            <v>3.8506216082019702E-7</v>
          </cell>
        </row>
        <row r="82">
          <cell r="B82" t="str">
            <v>RHNS-CHPGFC</v>
          </cell>
          <cell r="C82" t="str">
            <v>VAR_cap</v>
          </cell>
          <cell r="D82" t="str">
            <v>-</v>
          </cell>
          <cell r="H82">
            <v>3.8506216082019702E-7</v>
          </cell>
        </row>
        <row r="83">
          <cell r="B83" t="str">
            <v>D-ENGA</v>
          </cell>
          <cell r="C83" t="str">
            <v>VAR_fout</v>
          </cell>
          <cell r="D83" t="str">
            <v>CO2</v>
          </cell>
          <cell r="E83">
            <v>310.86628449092098</v>
          </cell>
          <cell r="F83">
            <v>97.099106413104906</v>
          </cell>
          <cell r="G83">
            <v>64.220134316405293</v>
          </cell>
          <cell r="H83">
            <v>168.00994999699401</v>
          </cell>
        </row>
        <row r="84">
          <cell r="B84" t="str">
            <v>D-ENGA</v>
          </cell>
          <cell r="C84" t="str">
            <v>VAR_fout</v>
          </cell>
          <cell r="D84" t="str">
            <v>ENGA</v>
          </cell>
          <cell r="E84">
            <v>5.6979691452091501</v>
          </cell>
          <cell r="F84">
            <v>1.716154071466393</v>
          </cell>
          <cell r="G84">
            <v>1.2461769145058175</v>
          </cell>
          <cell r="H84">
            <v>3.5830320128036641</v>
          </cell>
        </row>
        <row r="85">
          <cell r="B85" t="str">
            <v>D-ENGA</v>
          </cell>
          <cell r="C85" t="str">
            <v>VAR_fin</v>
          </cell>
          <cell r="D85" t="str">
            <v>NGA</v>
          </cell>
          <cell r="E85">
            <v>5.5118135548035685</v>
          </cell>
          <cell r="F85">
            <v>1.7216153619344874</v>
          </cell>
          <cell r="G85">
            <v>1.138654863766051</v>
          </cell>
          <cell r="H85">
            <v>2.9788998226417376</v>
          </cell>
        </row>
        <row r="86">
          <cell r="B86" t="str">
            <v>D-ENGA</v>
          </cell>
          <cell r="C86" t="str">
            <v>VAR_fin</v>
          </cell>
          <cell r="D86" t="str">
            <v>BNGA</v>
          </cell>
          <cell r="E86">
            <v>0.20435843424904362</v>
          </cell>
          <cell r="F86">
            <v>1.8770036876915233E-5</v>
          </cell>
          <cell r="G86">
            <v>0.11149835833530476</v>
          </cell>
          <cell r="H86">
            <v>0.6155728303085819</v>
          </cell>
        </row>
        <row r="87">
          <cell r="B87" t="str">
            <v>D-ENGA</v>
          </cell>
          <cell r="C87" t="str">
            <v>VAR_ncap</v>
          </cell>
          <cell r="D87" t="str">
            <v>-</v>
          </cell>
          <cell r="E87">
            <v>3.00949499088119E-7</v>
          </cell>
          <cell r="F87">
            <v>1.02555734195434E-7</v>
          </cell>
          <cell r="G87">
            <v>1.2938045110089201E-7</v>
          </cell>
          <cell r="H87">
            <v>1.7598270911190499E-7</v>
          </cell>
        </row>
        <row r="88">
          <cell r="B88" t="str">
            <v>D-ENGA</v>
          </cell>
          <cell r="C88" t="str">
            <v>VAR_cap</v>
          </cell>
          <cell r="D88" t="str">
            <v>-</v>
          </cell>
          <cell r="E88">
            <v>1.0275122954904792</v>
          </cell>
          <cell r="F88">
            <v>1.0275123980462133</v>
          </cell>
          <cell r="G88">
            <v>1.0275125274266645</v>
          </cell>
          <cell r="H88">
            <v>1.0275127034093736</v>
          </cell>
        </row>
        <row r="89">
          <cell r="B89" t="str">
            <v>D-ILFO</v>
          </cell>
          <cell r="C89" t="str">
            <v>VAR_fout</v>
          </cell>
          <cell r="D89" t="str">
            <v>CO2</v>
          </cell>
          <cell r="E89">
            <v>688.81204010383703</v>
          </cell>
          <cell r="F89">
            <v>659.57576137618003</v>
          </cell>
          <cell r="G89">
            <v>621.78805166626796</v>
          </cell>
          <cell r="H89">
            <v>485.17533603775701</v>
          </cell>
        </row>
        <row r="90">
          <cell r="B90" t="str">
            <v>D-ILFO</v>
          </cell>
          <cell r="C90" t="str">
            <v>VAR_fout</v>
          </cell>
          <cell r="D90" t="str">
            <v>ILFO</v>
          </cell>
          <cell r="E90">
            <v>9.1900688778251229</v>
          </cell>
          <cell r="F90">
            <v>8.8000010514875449</v>
          </cell>
          <cell r="G90">
            <v>8.2958656740706544</v>
          </cell>
          <cell r="H90">
            <v>7.372668259312972</v>
          </cell>
        </row>
        <row r="91">
          <cell r="B91" t="str">
            <v>D-ILFO</v>
          </cell>
          <cell r="C91" t="str">
            <v>VAR_fin</v>
          </cell>
          <cell r="D91" t="str">
            <v>LFO</v>
          </cell>
          <cell r="E91">
            <v>9.3461606526979164</v>
          </cell>
          <cell r="F91">
            <v>8.949467589907476</v>
          </cell>
          <cell r="G91">
            <v>8.4367442559873496</v>
          </cell>
          <cell r="H91">
            <v>6.5831117508515149</v>
          </cell>
        </row>
        <row r="92">
          <cell r="B92" t="str">
            <v>D-ILFO</v>
          </cell>
          <cell r="C92" t="str">
            <v>VAR_fin</v>
          </cell>
          <cell r="D92" t="str">
            <v>BDS</v>
          </cell>
          <cell r="G92">
            <v>2.5536296910440435E-5</v>
          </cell>
          <cell r="H92">
            <v>0.9147804299779575</v>
          </cell>
        </row>
        <row r="93">
          <cell r="B93" t="str">
            <v>HPLNGA</v>
          </cell>
          <cell r="C93" t="str">
            <v>VAR_fout</v>
          </cell>
          <cell r="D93" t="str">
            <v>LTH</v>
          </cell>
          <cell r="E93">
            <v>1.7329034351756449</v>
          </cell>
          <cell r="F93">
            <v>1.4657145158969569</v>
          </cell>
          <cell r="G93">
            <v>0.8158321377751796</v>
          </cell>
          <cell r="H93">
            <v>3.032898443710117</v>
          </cell>
        </row>
        <row r="94">
          <cell r="B94" t="str">
            <v>HPLNGA</v>
          </cell>
          <cell r="C94" t="str">
            <v>VAR_fout</v>
          </cell>
          <cell r="D94" t="str">
            <v>CO2_E</v>
          </cell>
          <cell r="E94">
            <v>114.383732874114</v>
          </cell>
          <cell r="F94">
            <v>96.747397606189494</v>
          </cell>
          <cell r="G94">
            <v>53.850620538434903</v>
          </cell>
          <cell r="H94">
            <v>200.19248526937901</v>
          </cell>
        </row>
        <row r="95">
          <cell r="B95" t="str">
            <v>HPLNGA</v>
          </cell>
          <cell r="C95" t="str">
            <v>VAR_fin</v>
          </cell>
          <cell r="D95" t="str">
            <v>ENGA</v>
          </cell>
          <cell r="E95">
            <v>2.0280803701084138</v>
          </cell>
          <cell r="F95">
            <v>1.7153793901806633</v>
          </cell>
          <cell r="G95">
            <v>0.95479823649707263</v>
          </cell>
          <cell r="H95">
            <v>3.549512150166287</v>
          </cell>
        </row>
        <row r="96">
          <cell r="B96" t="str">
            <v>HPLNGA</v>
          </cell>
          <cell r="C96" t="str">
            <v>VAR_ncap</v>
          </cell>
          <cell r="D96" t="str">
            <v>-</v>
          </cell>
          <cell r="E96">
            <v>2.6704973518119E-6</v>
          </cell>
          <cell r="F96">
            <v>2.5121927914925002E-6</v>
          </cell>
          <cell r="G96">
            <v>4.9519492520980596E-6</v>
          </cell>
          <cell r="H96">
            <v>0.30105132772160298</v>
          </cell>
        </row>
        <row r="97">
          <cell r="B97" t="str">
            <v>HPLNGA</v>
          </cell>
          <cell r="C97" t="str">
            <v>VAR_cap</v>
          </cell>
          <cell r="D97" t="str">
            <v>-</v>
          </cell>
          <cell r="E97">
            <v>0.21985612290369277</v>
          </cell>
          <cell r="F97">
            <v>0.1859421091173763</v>
          </cell>
          <cell r="G97">
            <v>0.18593769922594838</v>
          </cell>
          <cell r="H97">
            <v>0.38469086728176105</v>
          </cell>
        </row>
        <row r="98">
          <cell r="B98" t="str">
            <v>G-INTC-IMP00-AT</v>
          </cell>
          <cell r="C98" t="str">
            <v>VAR_fout</v>
          </cell>
          <cell r="D98" t="str">
            <v>ELC</v>
          </cell>
          <cell r="E98">
            <v>15.013807044343766</v>
          </cell>
          <cell r="F98">
            <v>1.7706776567152544E-2</v>
          </cell>
          <cell r="G98">
            <v>1.3269253792695243E-2</v>
          </cell>
          <cell r="H98">
            <v>1.3016244561304119E-2</v>
          </cell>
        </row>
        <row r="99">
          <cell r="B99" t="str">
            <v>G-INTC-IMP00-AT</v>
          </cell>
          <cell r="C99" t="str">
            <v>VAR_fin</v>
          </cell>
          <cell r="D99" t="str">
            <v>ELC_I-AT</v>
          </cell>
          <cell r="E99">
            <v>15.013807044343766</v>
          </cell>
          <cell r="F99">
            <v>1.7706776567152544E-2</v>
          </cell>
          <cell r="G99">
            <v>1.3269253792695243E-2</v>
          </cell>
          <cell r="H99">
            <v>1.3016244561304119E-2</v>
          </cell>
        </row>
        <row r="100">
          <cell r="B100" t="str">
            <v>G-INTC-IMP00-AT</v>
          </cell>
          <cell r="C100" t="str">
            <v>VAR_ncap</v>
          </cell>
          <cell r="D100" t="str">
            <v>-</v>
          </cell>
          <cell r="E100">
            <v>3.4056106609906201E-7</v>
          </cell>
          <cell r="F100">
            <v>3.0474886525269501E-7</v>
          </cell>
          <cell r="G100">
            <v>3.67470039791932E-7</v>
          </cell>
          <cell r="H100">
            <v>3.9605068224003001E-7</v>
          </cell>
        </row>
        <row r="101">
          <cell r="B101" t="str">
            <v>G-INTC-IMP00-AT</v>
          </cell>
          <cell r="C101" t="str">
            <v>VAR_cap</v>
          </cell>
          <cell r="D101" t="str">
            <v>-</v>
          </cell>
          <cell r="E101">
            <v>0.55967918007963491</v>
          </cell>
          <cell r="F101">
            <v>1.7272357978399544E-3</v>
          </cell>
          <cell r="G101">
            <v>1.7260682117599124E-3</v>
          </cell>
          <cell r="H101">
            <v>1.726214707277407E-3</v>
          </cell>
        </row>
        <row r="102">
          <cell r="B102" t="str">
            <v>CHPWST</v>
          </cell>
          <cell r="C102" t="str">
            <v>VAR_fout</v>
          </cell>
          <cell r="D102" t="str">
            <v>ELC35</v>
          </cell>
          <cell r="E102">
            <v>1.4349603213612419</v>
          </cell>
          <cell r="F102">
            <v>1.2995354027809236</v>
          </cell>
          <cell r="G102">
            <v>1.2158237136281718</v>
          </cell>
          <cell r="H102">
            <v>1.2901764363326835</v>
          </cell>
        </row>
        <row r="103">
          <cell r="B103" t="str">
            <v>CHPWST</v>
          </cell>
          <cell r="C103" t="str">
            <v>VAR_fout</v>
          </cell>
          <cell r="D103" t="str">
            <v>LTH</v>
          </cell>
          <cell r="E103">
            <v>14.461262506045051</v>
          </cell>
          <cell r="F103">
            <v>13.051648122990354</v>
          </cell>
          <cell r="G103">
            <v>12.14799542740662</v>
          </cell>
          <cell r="H103">
            <v>12.779635147773988</v>
          </cell>
        </row>
        <row r="104">
          <cell r="B104" t="str">
            <v>CHPWST</v>
          </cell>
          <cell r="C104" t="str">
            <v>VAR_fout</v>
          </cell>
          <cell r="D104" t="str">
            <v>CO2_E</v>
          </cell>
          <cell r="E104">
            <v>2843.2560177389701</v>
          </cell>
          <cell r="F104">
            <v>2574.9226645630201</v>
          </cell>
          <cell r="G104">
            <v>2409.0548280831399</v>
          </cell>
          <cell r="H104">
            <v>2556.3786412352301</v>
          </cell>
        </row>
        <row r="105">
          <cell r="B105" t="str">
            <v>CHPWST</v>
          </cell>
          <cell r="C105" t="str">
            <v>VAR_fin</v>
          </cell>
          <cell r="D105" t="str">
            <v>EWST</v>
          </cell>
          <cell r="E105">
            <v>30.638534673911305</v>
          </cell>
          <cell r="F105">
            <v>27.747011471584202</v>
          </cell>
          <cell r="G105">
            <v>25.959642543999369</v>
          </cell>
          <cell r="H105">
            <v>27.547183634000319</v>
          </cell>
        </row>
        <row r="106">
          <cell r="B106" t="str">
            <v>CHPWST</v>
          </cell>
          <cell r="C106" t="str">
            <v>VAR_ncap</v>
          </cell>
          <cell r="D106" t="str">
            <v>-</v>
          </cell>
          <cell r="F106">
            <v>2.6400649049387E-8</v>
          </cell>
          <cell r="G106">
            <v>2.63322594213968E-8</v>
          </cell>
          <cell r="H106">
            <v>6.5415622175895802E-8</v>
          </cell>
        </row>
        <row r="107">
          <cell r="B107" t="str">
            <v>CHPWST</v>
          </cell>
          <cell r="C107" t="str">
            <v>VAR_cap</v>
          </cell>
          <cell r="D107" t="str">
            <v>-</v>
          </cell>
          <cell r="E107">
            <v>7.8399999999999997E-2</v>
          </cell>
          <cell r="F107">
            <v>7.1001051873236229E-2</v>
          </cell>
          <cell r="G107">
            <v>7.0489792349326133E-2</v>
          </cell>
          <cell r="H107">
            <v>7.0489665526808631E-2</v>
          </cell>
        </row>
        <row r="108">
          <cell r="B108" t="str">
            <v>RHES-CHPNGA</v>
          </cell>
          <cell r="C108" t="str">
            <v>VAR_fout</v>
          </cell>
          <cell r="D108" t="str">
            <v>CO2_R</v>
          </cell>
          <cell r="E108">
            <v>3.0595427637297998</v>
          </cell>
          <cell r="F108">
            <v>0.100408145082319</v>
          </cell>
          <cell r="G108">
            <v>0.37016360767736001</v>
          </cell>
        </row>
        <row r="109">
          <cell r="B109" t="str">
            <v>RHES-CHPNGA</v>
          </cell>
          <cell r="C109" t="str">
            <v>VAR_fout</v>
          </cell>
          <cell r="D109" t="str">
            <v>RHES_NKEV_GAS_ELC_CHP</v>
          </cell>
          <cell r="E109">
            <v>1.3144636281895751E-2</v>
          </cell>
          <cell r="F109">
            <v>4.7557076918277956E-4</v>
          </cell>
          <cell r="G109">
            <v>1.5902880960848922E-3</v>
          </cell>
        </row>
        <row r="110">
          <cell r="B110" t="str">
            <v>RHES-CHPNGA</v>
          </cell>
          <cell r="C110" t="str">
            <v>VAR_fout</v>
          </cell>
          <cell r="D110" t="str">
            <v>RHES_LTH_CHPNGA</v>
          </cell>
          <cell r="E110">
            <v>3.1644494752712055E-2</v>
          </cell>
          <cell r="F110">
            <v>1.1333178541794939E-3</v>
          </cell>
          <cell r="G110">
            <v>3.7317077810246073E-3</v>
          </cell>
        </row>
        <row r="111">
          <cell r="B111" t="str">
            <v>RHES-CHPNGA</v>
          </cell>
          <cell r="C111" t="str">
            <v>VAR_fin</v>
          </cell>
          <cell r="D111" t="str">
            <v>RNGA</v>
          </cell>
          <cell r="E111">
            <v>5.4247212122868912E-2</v>
          </cell>
          <cell r="F111">
            <v>1.7802862603247963E-3</v>
          </cell>
          <cell r="G111">
            <v>6.5631845332865448E-3</v>
          </cell>
        </row>
        <row r="112">
          <cell r="B112" t="str">
            <v>RHES-CHPNGA</v>
          </cell>
          <cell r="C112" t="str">
            <v>VAR_ncap</v>
          </cell>
          <cell r="D112" t="str">
            <v>-</v>
          </cell>
          <cell r="F112">
            <v>3.0855415609817999E-8</v>
          </cell>
          <cell r="G112">
            <v>2.1080040646845399E-8</v>
          </cell>
        </row>
        <row r="113">
          <cell r="B113" t="str">
            <v>RHES-CHPNGA</v>
          </cell>
          <cell r="C113" t="str">
            <v>VAR_cap</v>
          </cell>
          <cell r="D113" t="str">
            <v>-</v>
          </cell>
          <cell r="E113">
            <v>3.9198137348719379E-3</v>
          </cell>
          <cell r="F113">
            <v>1.4295184957083978E-4</v>
          </cell>
          <cell r="G113">
            <v>1.4148491782633586E-4</v>
          </cell>
          <cell r="H113">
            <v>1.3320384390437263E-4</v>
          </cell>
        </row>
        <row r="114">
          <cell r="B114" t="str">
            <v>RHEM-CHPWOD</v>
          </cell>
          <cell r="C114" t="str">
            <v>VAR_ncap</v>
          </cell>
          <cell r="D114" t="str">
            <v>-</v>
          </cell>
          <cell r="H114">
            <v>1.6126176311836801E-6</v>
          </cell>
        </row>
        <row r="115">
          <cell r="B115" t="str">
            <v>RHEM-CHPWOD</v>
          </cell>
          <cell r="C115" t="str">
            <v>VAR_cap</v>
          </cell>
          <cell r="D115" t="str">
            <v>-</v>
          </cell>
          <cell r="H115">
            <v>1.6126176311836801E-6</v>
          </cell>
        </row>
        <row r="116">
          <cell r="B116" t="str">
            <v>G-INTC-IMP00-FR</v>
          </cell>
          <cell r="C116" t="str">
            <v>VAR_fout</v>
          </cell>
          <cell r="D116" t="str">
            <v>ELC</v>
          </cell>
          <cell r="E116">
            <v>28.948622033497291</v>
          </cell>
          <cell r="F116">
            <v>17.237285963676449</v>
          </cell>
          <cell r="G116">
            <v>21.273359865652033</v>
          </cell>
          <cell r="H116">
            <v>14.83381277140796</v>
          </cell>
        </row>
        <row r="117">
          <cell r="B117" t="str">
            <v>G-INTC-IMP00-FR</v>
          </cell>
          <cell r="C117" t="str">
            <v>VAR_fin</v>
          </cell>
          <cell r="D117" t="str">
            <v>ELC_I-FR</v>
          </cell>
          <cell r="E117">
            <v>28.948622033497291</v>
          </cell>
          <cell r="F117">
            <v>17.237285963676449</v>
          </cell>
          <cell r="G117">
            <v>21.273359865652033</v>
          </cell>
          <cell r="H117">
            <v>14.83381277140796</v>
          </cell>
        </row>
        <row r="118">
          <cell r="B118" t="str">
            <v>G-INTC-IMP00-FR</v>
          </cell>
          <cell r="C118" t="str">
            <v>VAR_ncap</v>
          </cell>
          <cell r="D118" t="str">
            <v>-</v>
          </cell>
          <cell r="E118">
            <v>3.8929475737372402E-7</v>
          </cell>
          <cell r="F118">
            <v>3.3946249396219199E-7</v>
          </cell>
          <cell r="G118">
            <v>3.8057578291724699E-7</v>
          </cell>
          <cell r="H118">
            <v>3.4328868503417899E-7</v>
          </cell>
        </row>
        <row r="119">
          <cell r="B119" t="str">
            <v>G-INTC-IMP00-FR</v>
          </cell>
          <cell r="C119" t="str">
            <v>VAR_cap</v>
          </cell>
          <cell r="D119" t="str">
            <v>-</v>
          </cell>
          <cell r="E119">
            <v>1.6729946424313069</v>
          </cell>
          <cell r="F119">
            <v>1.6729860704439463</v>
          </cell>
          <cell r="G119">
            <v>1.6729857048672518</v>
          </cell>
          <cell r="H119">
            <v>1.6729858224170873</v>
          </cell>
        </row>
        <row r="120">
          <cell r="B120" t="str">
            <v>RHEM-CHPGFC</v>
          </cell>
          <cell r="C120" t="str">
            <v>VAR_ncap</v>
          </cell>
          <cell r="D120" t="str">
            <v>-</v>
          </cell>
          <cell r="H120">
            <v>1.3577499868229899E-6</v>
          </cell>
        </row>
        <row r="121">
          <cell r="B121" t="str">
            <v>RHEM-CHPGFC</v>
          </cell>
          <cell r="C121" t="str">
            <v>VAR_cap</v>
          </cell>
          <cell r="D121" t="str">
            <v>-</v>
          </cell>
          <cell r="H121">
            <v>1.3577499868229899E-6</v>
          </cell>
        </row>
        <row r="122">
          <cell r="B122" t="str">
            <v>EHYD-RUNS10</v>
          </cell>
          <cell r="C122" t="str">
            <v>VAR_fout</v>
          </cell>
          <cell r="D122" t="str">
            <v>ELC35</v>
          </cell>
          <cell r="F122">
            <v>6.3863060552385507E-4</v>
          </cell>
          <cell r="G122">
            <v>9.2945914991168983E-4</v>
          </cell>
          <cell r="H122">
            <v>9.2826103909557844E-4</v>
          </cell>
        </row>
        <row r="123">
          <cell r="B123" t="str">
            <v>EHYD-RUNS10</v>
          </cell>
          <cell r="C123" t="str">
            <v>VAR_fin</v>
          </cell>
          <cell r="D123" t="str">
            <v>HYDR</v>
          </cell>
          <cell r="F123">
            <v>6.3863060552385507E-4</v>
          </cell>
          <cell r="G123">
            <v>9.2945914991168983E-4</v>
          </cell>
          <cell r="H123">
            <v>9.2826103909557844E-4</v>
          </cell>
        </row>
        <row r="124">
          <cell r="B124" t="str">
            <v>EHYD-RUNS10</v>
          </cell>
          <cell r="C124" t="str">
            <v>VAR_ncap</v>
          </cell>
          <cell r="D124" t="str">
            <v>-</v>
          </cell>
          <cell r="F124">
            <v>5.7659516065359498E-5</v>
          </cell>
          <cell r="G124">
            <v>2.5540770425601898E-5</v>
          </cell>
          <cell r="H124">
            <v>3.1875424931155701E-7</v>
          </cell>
        </row>
        <row r="125">
          <cell r="B125" t="str">
            <v>EHYD-RUNS10</v>
          </cell>
          <cell r="C125" t="str">
            <v>VAR_cap</v>
          </cell>
          <cell r="D125" t="str">
            <v>-</v>
          </cell>
          <cell r="F125">
            <v>5.7659516065359498E-5</v>
          </cell>
          <cell r="G125">
            <v>8.3200286490961301E-5</v>
          </cell>
          <cell r="H125">
            <v>8.3519040740272902E-5</v>
          </cell>
        </row>
        <row r="126">
          <cell r="B126" t="str">
            <v>SUP_WSTBIO</v>
          </cell>
          <cell r="C126" t="str">
            <v>VAR_fout</v>
          </cell>
          <cell r="D126" t="str">
            <v>ELC35</v>
          </cell>
          <cell r="E126">
            <v>0.11258825959024969</v>
          </cell>
          <cell r="F126">
            <v>0.1247646776139875</v>
          </cell>
          <cell r="G126">
            <v>0.12058095882365599</v>
          </cell>
          <cell r="H126">
            <v>0.12437518544043411</v>
          </cell>
        </row>
        <row r="127">
          <cell r="B127" t="str">
            <v>SUP_WSTBIO</v>
          </cell>
          <cell r="C127" t="str">
            <v>VAR_fout</v>
          </cell>
          <cell r="D127" t="str">
            <v>BIO</v>
          </cell>
          <cell r="E127">
            <v>5.629412979512491</v>
          </cell>
          <cell r="F127">
            <v>6.2382338806993749</v>
          </cell>
          <cell r="G127">
            <v>6.029047941182804</v>
          </cell>
          <cell r="H127">
            <v>6.2187592720217086</v>
          </cell>
        </row>
        <row r="128">
          <cell r="B128" t="str">
            <v>SUP_WSTBIO</v>
          </cell>
          <cell r="C128" t="str">
            <v>VAR_fin</v>
          </cell>
          <cell r="D128" t="str">
            <v>CWST</v>
          </cell>
          <cell r="E128">
            <v>9.679373517344608</v>
          </cell>
          <cell r="F128">
            <v>10.726197569728241</v>
          </cell>
          <cell r="G128">
            <v>10.366517288582315</v>
          </cell>
          <cell r="H128">
            <v>10.692712371150463</v>
          </cell>
        </row>
        <row r="129">
          <cell r="B129" t="str">
            <v>SUP_WSTBIO</v>
          </cell>
          <cell r="C129" t="str">
            <v>VAR_ncap</v>
          </cell>
          <cell r="D129" t="str">
            <v>-</v>
          </cell>
          <cell r="E129">
            <v>4.0965783086815101E-3</v>
          </cell>
          <cell r="F129">
            <v>2.2999708816926201E-2</v>
          </cell>
          <cell r="G129">
            <v>1.5629909226362601E-7</v>
          </cell>
          <cell r="H129">
            <v>7.2849331956473196E-2</v>
          </cell>
        </row>
        <row r="130">
          <cell r="B130" t="str">
            <v>SUP_WSTBIO</v>
          </cell>
          <cell r="C130" t="str">
            <v>VAR_cap</v>
          </cell>
          <cell r="D130" t="str">
            <v>-</v>
          </cell>
          <cell r="E130">
            <v>0.21266698410449497</v>
          </cell>
          <cell r="F130">
            <v>0.23566663943184035</v>
          </cell>
          <cell r="G130">
            <v>0.23566563443243968</v>
          </cell>
          <cell r="H130">
            <v>0.23493092197010979</v>
          </cell>
        </row>
        <row r="131">
          <cell r="B131" t="str">
            <v>ITOT-CHPNGACCS</v>
          </cell>
          <cell r="C131" t="str">
            <v>VAR_fout</v>
          </cell>
          <cell r="D131" t="str">
            <v>CO2_I</v>
          </cell>
        </row>
        <row r="132">
          <cell r="B132" t="str">
            <v>ITOT-CHPNGACCS</v>
          </cell>
          <cell r="C132" t="str">
            <v>VAR_fin</v>
          </cell>
          <cell r="D132" t="str">
            <v>INGA</v>
          </cell>
        </row>
        <row r="133">
          <cell r="B133" t="str">
            <v>SCOM-ESOLPV</v>
          </cell>
          <cell r="C133" t="str">
            <v>VAR_fout</v>
          </cell>
          <cell r="D133" t="str">
            <v>SCOM_SOL_ELC</v>
          </cell>
          <cell r="E133">
            <v>2.8396236857719668</v>
          </cell>
          <cell r="F133">
            <v>3.2944550867381746</v>
          </cell>
          <cell r="G133">
            <v>9.966605559919822</v>
          </cell>
          <cell r="H133">
            <v>10.737733560188992</v>
          </cell>
        </row>
        <row r="134">
          <cell r="B134" t="str">
            <v>SCOM-ESOLPV</v>
          </cell>
          <cell r="C134" t="str">
            <v>VAR_fin</v>
          </cell>
          <cell r="D134" t="str">
            <v>SOL</v>
          </cell>
          <cell r="E134">
            <v>2.8396236857719668</v>
          </cell>
          <cell r="F134">
            <v>3.2944550867381746</v>
          </cell>
          <cell r="G134">
            <v>9.966605559919822</v>
          </cell>
          <cell r="H134">
            <v>10.737733560188992</v>
          </cell>
        </row>
        <row r="135">
          <cell r="B135" t="str">
            <v>SCOM-ESOLPV</v>
          </cell>
          <cell r="C135" t="str">
            <v>VAR_fin</v>
          </cell>
          <cell r="D135" t="str">
            <v>SOLPVC</v>
          </cell>
          <cell r="E135">
            <v>2.8396236857719699</v>
          </cell>
          <cell r="F135">
            <v>3.2944550867381701</v>
          </cell>
          <cell r="G135">
            <v>9.9666055599198202</v>
          </cell>
          <cell r="H135">
            <v>10.737733560189</v>
          </cell>
        </row>
        <row r="136">
          <cell r="B136" t="str">
            <v>SCOM-ESOLPV</v>
          </cell>
          <cell r="C136" t="str">
            <v>VAR_ncap</v>
          </cell>
          <cell r="D136" t="str">
            <v>-</v>
          </cell>
          <cell r="F136">
            <v>1.6709121408821401E-8</v>
          </cell>
          <cell r="G136">
            <v>2.0047163188085402</v>
          </cell>
          <cell r="H136">
            <v>5.6167260048787296E-7</v>
          </cell>
        </row>
        <row r="137">
          <cell r="B137" t="str">
            <v>SCOM-ESOLPV</v>
          </cell>
          <cell r="C137" t="str">
            <v>VAR_cap</v>
          </cell>
          <cell r="D137" t="str">
            <v>-</v>
          </cell>
          <cell r="E137">
            <v>0.90292899999999998</v>
          </cell>
          <cell r="F137">
            <v>1.1231012782771315</v>
          </cell>
          <cell r="G137">
            <v>3.1799453355176599</v>
          </cell>
          <cell r="H137">
            <v>3.0953760754309401</v>
          </cell>
        </row>
        <row r="138">
          <cell r="B138" t="str">
            <v>D-SCOM_LTH</v>
          </cell>
          <cell r="C138" t="str">
            <v>VAR_fout</v>
          </cell>
          <cell r="D138" t="str">
            <v>SCOM_LTH_DH</v>
          </cell>
          <cell r="E138">
            <v>5.610001351477635</v>
          </cell>
          <cell r="F138">
            <v>6.0767030600791268</v>
          </cell>
          <cell r="G138">
            <v>5.9892066213564963</v>
          </cell>
          <cell r="H138">
            <v>6.9909215167352032</v>
          </cell>
        </row>
        <row r="139">
          <cell r="B139" t="str">
            <v>D-SCOM_LTH</v>
          </cell>
          <cell r="C139" t="str">
            <v>VAR_fin</v>
          </cell>
          <cell r="D139" t="str">
            <v>LTH</v>
          </cell>
          <cell r="E139">
            <v>6.098777202926323</v>
          </cell>
          <cell r="F139">
            <v>6.6044044972610729</v>
          </cell>
          <cell r="G139">
            <v>6.5067447831878287</v>
          </cell>
          <cell r="H139">
            <v>7.5900347548836384</v>
          </cell>
        </row>
        <row r="140">
          <cell r="B140" t="str">
            <v>D-SCOM_LTH</v>
          </cell>
          <cell r="C140" t="str">
            <v>VAR_ncap</v>
          </cell>
          <cell r="D140" t="str">
            <v>-</v>
          </cell>
          <cell r="E140">
            <v>0.84970021883962599</v>
          </cell>
          <cell r="F140">
            <v>1.07578258904549E-8</v>
          </cell>
          <cell r="G140">
            <v>1.23506822674258E-8</v>
          </cell>
          <cell r="H140">
            <v>1.43214777192618E-8</v>
          </cell>
        </row>
        <row r="141">
          <cell r="B141" t="str">
            <v>D-SCOM_LTH</v>
          </cell>
          <cell r="C141" t="str">
            <v>VAR_cap</v>
          </cell>
          <cell r="D141" t="str">
            <v>-</v>
          </cell>
          <cell r="E141">
            <v>0.84970021883962599</v>
          </cell>
          <cell r="F141">
            <v>0.84970022959745195</v>
          </cell>
          <cell r="G141">
            <v>0.84970024194813398</v>
          </cell>
          <cell r="H141">
            <v>0.84970025626961199</v>
          </cell>
        </row>
        <row r="142">
          <cell r="B142" t="str">
            <v>EHYD-RUNS15</v>
          </cell>
          <cell r="C142" t="str">
            <v>VAR_fout</v>
          </cell>
          <cell r="D142" t="str">
            <v>ELC35</v>
          </cell>
          <cell r="F142">
            <v>2.0309991629410788E-4</v>
          </cell>
          <cell r="G142">
            <v>1.7196361801879553E-3</v>
          </cell>
          <cell r="H142">
            <v>1.7444429761836347E-3</v>
          </cell>
        </row>
        <row r="143">
          <cell r="B143" t="str">
            <v>EHYD-RUNS15</v>
          </cell>
          <cell r="C143" t="str">
            <v>VAR_fin</v>
          </cell>
          <cell r="D143" t="str">
            <v>HYDR</v>
          </cell>
          <cell r="F143">
            <v>2.0309991629410788E-4</v>
          </cell>
          <cell r="G143">
            <v>1.7196361801879553E-3</v>
          </cell>
          <cell r="H143">
            <v>1.7444429761836347E-3</v>
          </cell>
        </row>
        <row r="144">
          <cell r="B144" t="str">
            <v>EHYD-RUNS15</v>
          </cell>
          <cell r="C144" t="str">
            <v>VAR_ncap</v>
          </cell>
          <cell r="D144" t="str">
            <v>-</v>
          </cell>
          <cell r="F144">
            <v>1.7052201857517699E-5</v>
          </cell>
          <cell r="G144">
            <v>1.0059690978469501E-4</v>
          </cell>
          <cell r="H144">
            <v>4.4069921577750502E-7</v>
          </cell>
        </row>
        <row r="145">
          <cell r="B145" t="str">
            <v>EHYD-RUNS15</v>
          </cell>
          <cell r="C145" t="str">
            <v>VAR_cap</v>
          </cell>
          <cell r="D145" t="str">
            <v>-</v>
          </cell>
          <cell r="F145">
            <v>1.7052201857517699E-5</v>
          </cell>
          <cell r="G145">
            <v>1.17649111642213E-4</v>
          </cell>
          <cell r="H145">
            <v>1.1808981085799001E-4</v>
          </cell>
        </row>
        <row r="146">
          <cell r="B146" t="str">
            <v>EHYD-RUN10</v>
          </cell>
          <cell r="C146" t="str">
            <v>VAR_fout</v>
          </cell>
          <cell r="D146" t="str">
            <v>ELC13</v>
          </cell>
          <cell r="F146">
            <v>6.9140060598393252E-4</v>
          </cell>
          <cell r="G146">
            <v>1.1926207812643091E-2</v>
          </cell>
          <cell r="H146">
            <v>1.2007907889519939E-2</v>
          </cell>
        </row>
        <row r="147">
          <cell r="B147" t="str">
            <v>EHYD-RUN10</v>
          </cell>
          <cell r="C147" t="str">
            <v>VAR_fin</v>
          </cell>
          <cell r="D147" t="str">
            <v>HYDR</v>
          </cell>
          <cell r="F147">
            <v>6.9140060598393252E-4</v>
          </cell>
          <cell r="G147">
            <v>1.1926207812643091E-2</v>
          </cell>
          <cell r="H147">
            <v>1.2007907889519939E-2</v>
          </cell>
        </row>
        <row r="148">
          <cell r="B148" t="str">
            <v>EHYD-RUN10</v>
          </cell>
          <cell r="C148" t="str">
            <v>VAR_ncap</v>
          </cell>
          <cell r="D148" t="str">
            <v>-</v>
          </cell>
          <cell r="F148">
            <v>5.8938174569623599E-5</v>
          </cell>
          <cell r="G148">
            <v>9.8376387390098296E-4</v>
          </cell>
          <cell r="H148">
            <v>4.7496669405534602E-8</v>
          </cell>
        </row>
        <row r="149">
          <cell r="B149" t="str">
            <v>EHYD-RUN10</v>
          </cell>
          <cell r="C149" t="str">
            <v>VAR_cap</v>
          </cell>
          <cell r="D149" t="str">
            <v>-</v>
          </cell>
          <cell r="F149">
            <v>5.8938174569623599E-5</v>
          </cell>
          <cell r="G149">
            <v>1.0427020484706101E-3</v>
          </cell>
          <cell r="H149">
            <v>1.0427495451400101E-3</v>
          </cell>
        </row>
        <row r="150">
          <cell r="B150" t="str">
            <v>ITOT-CHPWOD</v>
          </cell>
          <cell r="C150" t="str">
            <v>VAR_fout</v>
          </cell>
          <cell r="D150" t="str">
            <v>ITOT_LTH_CHP</v>
          </cell>
          <cell r="E150">
            <v>0.65957904103620457</v>
          </cell>
          <cell r="F150">
            <v>1.5966313296763068</v>
          </cell>
          <cell r="G150">
            <v>3.7306152395417373</v>
          </cell>
          <cell r="H150">
            <v>3.393142652717386</v>
          </cell>
        </row>
        <row r="151">
          <cell r="B151" t="str">
            <v>ITOT-CHPWOD</v>
          </cell>
          <cell r="C151" t="str">
            <v>VAR_fout</v>
          </cell>
          <cell r="D151" t="str">
            <v>ITOT_KEV_WOD_ELC_CHP</v>
          </cell>
          <cell r="E151">
            <v>0.17246474365950104</v>
          </cell>
          <cell r="F151">
            <v>0.4584570069089392</v>
          </cell>
          <cell r="G151">
            <v>1.2561389768441567</v>
          </cell>
          <cell r="H151">
            <v>1.604031072193671</v>
          </cell>
        </row>
        <row r="152">
          <cell r="B152" t="str">
            <v>ITOT-CHPWOD</v>
          </cell>
          <cell r="C152" t="str">
            <v>VAR_fin</v>
          </cell>
          <cell r="D152" t="str">
            <v>IWOD</v>
          </cell>
          <cell r="E152">
            <v>0.87270138427743704</v>
          </cell>
          <cell r="F152">
            <v>2.0302149632354261</v>
          </cell>
          <cell r="G152">
            <v>4.6860382025657925</v>
          </cell>
          <cell r="H152">
            <v>4.7384954561536325</v>
          </cell>
        </row>
        <row r="153">
          <cell r="B153" t="str">
            <v>ITOT-CHPWOD</v>
          </cell>
          <cell r="C153" t="str">
            <v>VAR_ncap</v>
          </cell>
          <cell r="D153" t="str">
            <v>-</v>
          </cell>
          <cell r="F153">
            <v>1.5272198809611E-2</v>
          </cell>
          <cell r="G153">
            <v>2.9493875340350001E-2</v>
          </cell>
          <cell r="H153">
            <v>1.28633152077642E-2</v>
          </cell>
        </row>
        <row r="154">
          <cell r="B154" t="str">
            <v>ITOT-CHPWOD</v>
          </cell>
          <cell r="C154" t="str">
            <v>VAR_cap</v>
          </cell>
          <cell r="D154" t="str">
            <v>-</v>
          </cell>
          <cell r="E154">
            <v>6.4392195429600809E-3</v>
          </cell>
          <cell r="F154">
            <v>1.6951192319200208E-2</v>
          </cell>
          <cell r="G154">
            <v>4.6445000965936109E-2</v>
          </cell>
          <cell r="H154">
            <v>5.9308203443770142E-2</v>
          </cell>
        </row>
        <row r="155">
          <cell r="B155" t="str">
            <v>EHYD-RUN15</v>
          </cell>
          <cell r="C155" t="str">
            <v>VAR_fout</v>
          </cell>
          <cell r="D155" t="str">
            <v>ELC13</v>
          </cell>
          <cell r="F155">
            <v>2.871348613439046E-4</v>
          </cell>
          <cell r="G155">
            <v>2.9375126824924522E-4</v>
          </cell>
          <cell r="H155">
            <v>1.3640179827099682E-3</v>
          </cell>
        </row>
        <row r="156">
          <cell r="B156" t="str">
            <v>EHYD-RUN15</v>
          </cell>
          <cell r="C156" t="str">
            <v>VAR_fin</v>
          </cell>
          <cell r="D156" t="str">
            <v>HYDR</v>
          </cell>
          <cell r="F156">
            <v>2.871348613439046E-4</v>
          </cell>
          <cell r="G156">
            <v>2.9375126824924522E-4</v>
          </cell>
          <cell r="H156">
            <v>1.3640179827099682E-3</v>
          </cell>
        </row>
        <row r="157">
          <cell r="B157" t="str">
            <v>EHYD-RUN15</v>
          </cell>
          <cell r="C157" t="str">
            <v>VAR_ncap</v>
          </cell>
          <cell r="D157" t="str">
            <v>-</v>
          </cell>
          <cell r="F157">
            <v>2.4364274312848101E-5</v>
          </cell>
          <cell r="G157">
            <v>1.0728940648445099E-4</v>
          </cell>
          <cell r="H157">
            <v>8.3807448465708006E-8</v>
          </cell>
        </row>
        <row r="158">
          <cell r="B158" t="str">
            <v>EHYD-RUN15</v>
          </cell>
          <cell r="C158" t="str">
            <v>VAR_cap</v>
          </cell>
          <cell r="D158" t="str">
            <v>-</v>
          </cell>
          <cell r="F158">
            <v>2.4364274312848101E-5</v>
          </cell>
          <cell r="G158">
            <v>2.4364274312848101E-5</v>
          </cell>
          <cell r="H158">
            <v>9.9107341227362797E-5</v>
          </cell>
        </row>
        <row r="159">
          <cell r="B159" t="str">
            <v>SCOM-SWHSTG-CHPWOD</v>
          </cell>
          <cell r="C159" t="str">
            <v>VAR_fout</v>
          </cell>
          <cell r="D159" t="str">
            <v>AUX_SCOM-CHPWOD_OUT</v>
          </cell>
          <cell r="E159">
            <v>7.7059423628024772E-5</v>
          </cell>
          <cell r="F159">
            <v>5.860288335348892E-5</v>
          </cell>
          <cell r="G159">
            <v>5.9858659425336E-5</v>
          </cell>
          <cell r="H159">
            <v>3.103782340572317E-5</v>
          </cell>
        </row>
        <row r="160">
          <cell r="B160" t="str">
            <v>SCOM-SWHSTG-CHPWOD</v>
          </cell>
          <cell r="C160" t="str">
            <v>VAR_fout</v>
          </cell>
          <cell r="D160" t="str">
            <v>SCOM_LTH_CHPWOD</v>
          </cell>
          <cell r="E160">
            <v>7.7059423628024866E-5</v>
          </cell>
          <cell r="F160">
            <v>5.865078353911633E-5</v>
          </cell>
          <cell r="G160">
            <v>5.9935107266236761E-5</v>
          </cell>
          <cell r="H160">
            <v>3.1037823405723116E-5</v>
          </cell>
        </row>
        <row r="161">
          <cell r="B161" t="str">
            <v>SCOM-SWHSTG-CHPWOD</v>
          </cell>
          <cell r="C161" t="str">
            <v>VAR_fin</v>
          </cell>
          <cell r="D161" t="str">
            <v>AUX_SCOM-CHPWOD_IN</v>
          </cell>
          <cell r="E161">
            <v>7.7059423628024866E-5</v>
          </cell>
          <cell r="F161">
            <v>5.865078353911633E-5</v>
          </cell>
          <cell r="G161">
            <v>5.9935107266236761E-5</v>
          </cell>
          <cell r="H161">
            <v>3.1037823405723116E-5</v>
          </cell>
        </row>
        <row r="162">
          <cell r="B162" t="str">
            <v>SCOM-SWHSTG-CHPWOD</v>
          </cell>
          <cell r="C162" t="str">
            <v>VAR_fin</v>
          </cell>
          <cell r="D162" t="str">
            <v>SCOM_LTH_CHPWOD</v>
          </cell>
          <cell r="E162">
            <v>7.7059423628024866E-5</v>
          </cell>
          <cell r="F162">
            <v>5.865078353911633E-5</v>
          </cell>
          <cell r="G162">
            <v>5.9935107266236761E-5</v>
          </cell>
          <cell r="H162">
            <v>3.1037823405723116E-5</v>
          </cell>
        </row>
        <row r="163">
          <cell r="B163" t="str">
            <v>SCOM-SWHSTG-CHPWOD</v>
          </cell>
          <cell r="C163" t="str">
            <v>VAR_ncap</v>
          </cell>
          <cell r="D163" t="str">
            <v>-</v>
          </cell>
          <cell r="E163">
            <v>3.0678854403192899E-4</v>
          </cell>
          <cell r="F163">
            <v>6.6278989466764497E-6</v>
          </cell>
          <cell r="G163">
            <v>6.0630830732826502E-6</v>
          </cell>
          <cell r="H163">
            <v>4.4523412987782101E-6</v>
          </cell>
        </row>
        <row r="164">
          <cell r="B164" t="str">
            <v>SCOM-SWHSTG-CHPWOD</v>
          </cell>
          <cell r="C164" t="str">
            <v>VAR_cap</v>
          </cell>
          <cell r="D164" t="str">
            <v>-</v>
          </cell>
          <cell r="E164">
            <v>3.0678854403192899E-4</v>
          </cell>
          <cell r="F164">
            <v>3.1228893764665409E-4</v>
          </cell>
          <cell r="G164">
            <v>3.1507026034719435E-4</v>
          </cell>
          <cell r="H164">
            <v>3.1143674115511959E-4</v>
          </cell>
        </row>
        <row r="165">
          <cell r="B165" t="str">
            <v>RHNM-ESOLPV</v>
          </cell>
          <cell r="C165" t="str">
            <v>VAR_fout</v>
          </cell>
          <cell r="D165" t="str">
            <v>RHNM_SOL_ELC</v>
          </cell>
          <cell r="F165">
            <v>1.3314422493404562E-5</v>
          </cell>
          <cell r="G165">
            <v>1.7014391940706175</v>
          </cell>
          <cell r="H165">
            <v>1.8831626752346455</v>
          </cell>
        </row>
        <row r="166">
          <cell r="B166" t="str">
            <v>RHNM-ESOLPV</v>
          </cell>
          <cell r="C166" t="str">
            <v>VAR_fin</v>
          </cell>
          <cell r="D166" t="str">
            <v>SOL</v>
          </cell>
          <cell r="F166">
            <v>1.3314422493404562E-5</v>
          </cell>
          <cell r="G166">
            <v>1.7014391940706175</v>
          </cell>
          <cell r="H166">
            <v>1.8831626752346455</v>
          </cell>
        </row>
        <row r="167">
          <cell r="B167" t="str">
            <v>RHNM-ESOLPV</v>
          </cell>
          <cell r="C167" t="str">
            <v>VAR_fin</v>
          </cell>
          <cell r="D167" t="str">
            <v>SOLPVC</v>
          </cell>
          <cell r="F167">
            <v>1.3314422493404601E-5</v>
          </cell>
          <cell r="G167">
            <v>1.7014391940706199</v>
          </cell>
          <cell r="H167">
            <v>1.88316267523464</v>
          </cell>
        </row>
        <row r="168">
          <cell r="B168" t="str">
            <v>RHNM-ESOLPV</v>
          </cell>
          <cell r="C168" t="str">
            <v>VAR_ncap</v>
          </cell>
          <cell r="D168" t="str">
            <v>-</v>
          </cell>
          <cell r="F168">
            <v>4.5705442473713297E-6</v>
          </cell>
          <cell r="G168">
            <v>0.54285696875922096</v>
          </cell>
          <cell r="H168">
            <v>1.3565898967167301E-7</v>
          </cell>
        </row>
        <row r="169">
          <cell r="B169" t="str">
            <v>RHNM-ESOLPV</v>
          </cell>
          <cell r="C169" t="str">
            <v>VAR_cap</v>
          </cell>
          <cell r="D169" t="str">
            <v>-</v>
          </cell>
          <cell r="F169">
            <v>4.5705442473713297E-6</v>
          </cell>
          <cell r="G169">
            <v>0.54286153930346903</v>
          </cell>
          <cell r="H169">
            <v>0.54286167496245796</v>
          </cell>
        </row>
        <row r="170">
          <cell r="B170" t="str">
            <v>CHPNGA</v>
          </cell>
          <cell r="C170" t="str">
            <v>VAR_fout</v>
          </cell>
          <cell r="D170" t="str">
            <v>ELC35</v>
          </cell>
          <cell r="E170">
            <v>0.96588145389344926</v>
          </cell>
          <cell r="F170">
            <v>1.709298336433726E-4</v>
          </cell>
          <cell r="G170">
            <v>7.4197658419084378E-2</v>
          </cell>
          <cell r="H170">
            <v>8.2432140627669778E-3</v>
          </cell>
        </row>
        <row r="171">
          <cell r="B171" t="str">
            <v>CHPNGA</v>
          </cell>
          <cell r="C171" t="str">
            <v>VAR_fout</v>
          </cell>
          <cell r="D171" t="str">
            <v>LTH</v>
          </cell>
          <cell r="E171">
            <v>1.8035525350352892</v>
          </cell>
          <cell r="F171">
            <v>3.2845107055776769E-4</v>
          </cell>
          <cell r="G171">
            <v>0.1486176336031976</v>
          </cell>
          <cell r="H171">
            <v>1.7630024029392188E-2</v>
          </cell>
        </row>
        <row r="172">
          <cell r="B172" t="str">
            <v>CHPNGA</v>
          </cell>
          <cell r="C172" t="str">
            <v>VAR_fout</v>
          </cell>
          <cell r="D172" t="str">
            <v>CO2_E</v>
          </cell>
          <cell r="E172">
            <v>206.98172691568101</v>
          </cell>
          <cell r="F172">
            <v>4.3692024515143597E-2</v>
          </cell>
          <cell r="G172">
            <v>16.433757439693299</v>
          </cell>
          <cell r="H172">
            <v>1.8905983683065899</v>
          </cell>
        </row>
        <row r="173">
          <cell r="B173" t="str">
            <v>CHPNGA</v>
          </cell>
          <cell r="C173" t="str">
            <v>VAR_fin</v>
          </cell>
          <cell r="D173" t="str">
            <v>ENGA</v>
          </cell>
          <cell r="E173">
            <v>3.6698887751007416</v>
          </cell>
          <cell r="F173">
            <v>7.7468128572949534E-4</v>
          </cell>
          <cell r="G173">
            <v>0.29137867800874645</v>
          </cell>
          <cell r="H173">
            <v>3.3521247665010384E-2</v>
          </cell>
        </row>
        <row r="174">
          <cell r="B174" t="str">
            <v>CHPNGA</v>
          </cell>
          <cell r="C174" t="str">
            <v>VAR_ncap</v>
          </cell>
          <cell r="D174" t="str">
            <v>-</v>
          </cell>
          <cell r="F174">
            <v>9.6381445964454604E-8</v>
          </cell>
          <cell r="G174">
            <v>2.7115324089321199E-3</v>
          </cell>
          <cell r="H174">
            <v>5.5185581081762498E-7</v>
          </cell>
        </row>
        <row r="175">
          <cell r="B175" t="str">
            <v>CHPNGA</v>
          </cell>
          <cell r="C175" t="str">
            <v>VAR_cap</v>
          </cell>
          <cell r="D175" t="str">
            <v>-</v>
          </cell>
          <cell r="E175">
            <v>4.7423957056209498E-2</v>
          </cell>
          <cell r="F175">
            <v>5.8279444817566084E-5</v>
          </cell>
          <cell r="G175">
            <v>2.7698857114982767E-3</v>
          </cell>
          <cell r="H175">
            <v>2.7155260560995029E-3</v>
          </cell>
        </row>
        <row r="176">
          <cell r="B176" t="str">
            <v>EHYD-PUM00</v>
          </cell>
          <cell r="C176" t="str">
            <v>VAR_fout</v>
          </cell>
          <cell r="D176" t="str">
            <v>ELC</v>
          </cell>
          <cell r="E176">
            <v>12.841920623724477</v>
          </cell>
          <cell r="F176">
            <v>16.03296266787974</v>
          </cell>
          <cell r="G176">
            <v>2.380323630327839</v>
          </cell>
          <cell r="H176">
            <v>12.618545576707024</v>
          </cell>
        </row>
        <row r="177">
          <cell r="B177" t="str">
            <v>EHYD-PUM00</v>
          </cell>
          <cell r="C177" t="str">
            <v>VAR_fout</v>
          </cell>
          <cell r="D177" t="str">
            <v>AUX_PUMP_OUT</v>
          </cell>
          <cell r="E177">
            <v>12.841920623724477</v>
          </cell>
          <cell r="F177">
            <v>16.03296266787974</v>
          </cell>
          <cell r="G177">
            <v>2.380323630327839</v>
          </cell>
          <cell r="H177">
            <v>12.618545576707024</v>
          </cell>
        </row>
        <row r="178">
          <cell r="B178" t="str">
            <v>EHYD-PUM00</v>
          </cell>
          <cell r="C178" t="str">
            <v>VAR_fin</v>
          </cell>
          <cell r="D178" t="str">
            <v>AUX_PUMP_IN</v>
          </cell>
          <cell r="E178">
            <v>16.052401440315233</v>
          </cell>
          <cell r="F178">
            <v>20.041203937459045</v>
          </cell>
          <cell r="G178">
            <v>2.9754045379112393</v>
          </cell>
          <cell r="H178">
            <v>15.773181863966974</v>
          </cell>
        </row>
        <row r="179">
          <cell r="B179" t="str">
            <v>EHYD-PUM00</v>
          </cell>
          <cell r="C179" t="str">
            <v>VAR_fin</v>
          </cell>
          <cell r="D179" t="str">
            <v>ELC</v>
          </cell>
          <cell r="E179">
            <v>16.052401440315233</v>
          </cell>
          <cell r="F179">
            <v>20.041203937459045</v>
          </cell>
          <cell r="G179">
            <v>2.9754045379112393</v>
          </cell>
          <cell r="H179">
            <v>15.773181863966974</v>
          </cell>
        </row>
        <row r="180">
          <cell r="B180" t="str">
            <v>EHYD-PUM00</v>
          </cell>
          <cell r="C180" t="str">
            <v>VAR_cap</v>
          </cell>
          <cell r="D180" t="str">
            <v>-</v>
          </cell>
          <cell r="E180">
            <v>3.3394499999999998</v>
          </cell>
          <cell r="F180">
            <v>3.97102894612105</v>
          </cell>
          <cell r="G180">
            <v>4.3594499999999998</v>
          </cell>
          <cell r="H180">
            <v>4.3594499999999998</v>
          </cell>
        </row>
        <row r="181">
          <cell r="B181" t="str">
            <v>RHNS-SHSTG-CHPNGA</v>
          </cell>
          <cell r="C181" t="str">
            <v>VAR_fout</v>
          </cell>
          <cell r="D181" t="str">
            <v>RHNS_LTH_CHPNGA</v>
          </cell>
          <cell r="E181">
            <v>1.1799519456541258E-4</v>
          </cell>
          <cell r="F181">
            <v>5.4058264159595514E-5</v>
          </cell>
          <cell r="G181">
            <v>6.2262097532569873E-4</v>
          </cell>
          <cell r="H181">
            <v>5.5751816656440133E-5</v>
          </cell>
        </row>
        <row r="182">
          <cell r="B182" t="str">
            <v>RHNS-SHSTG-CHPNGA</v>
          </cell>
          <cell r="C182" t="str">
            <v>VAR_fout</v>
          </cell>
          <cell r="D182" t="str">
            <v>AUX_RNS-CHPNGA_OUT</v>
          </cell>
          <cell r="E182">
            <v>1.1799519456541277E-4</v>
          </cell>
          <cell r="F182">
            <v>5.4022249326711138E-5</v>
          </cell>
          <cell r="G182">
            <v>6.2197308669372712E-4</v>
          </cell>
          <cell r="H182">
            <v>5.5751816656440133E-5</v>
          </cell>
        </row>
        <row r="183">
          <cell r="B183" t="str">
            <v>RHNS-SHSTG-CHPNGA</v>
          </cell>
          <cell r="C183" t="str">
            <v>VAR_fin</v>
          </cell>
          <cell r="D183" t="str">
            <v>RHNS_LTH_CHPNGA</v>
          </cell>
          <cell r="E183">
            <v>9.3903532154721912E-5</v>
          </cell>
          <cell r="F183">
            <v>7.0004107780826855E-5</v>
          </cell>
          <cell r="G183">
            <v>8.0189541785080545E-4</v>
          </cell>
          <cell r="H183">
            <v>4.2958833550314693E-5</v>
          </cell>
        </row>
        <row r="184">
          <cell r="B184" t="str">
            <v>RHNS-SHSTG-CHPNGA</v>
          </cell>
          <cell r="C184" t="str">
            <v>VAR_fin</v>
          </cell>
          <cell r="D184" t="str">
            <v>AUX_RNS-CHPNGA_IN</v>
          </cell>
          <cell r="E184">
            <v>9.3903532154721912E-5</v>
          </cell>
          <cell r="F184">
            <v>7.0004107780826855E-5</v>
          </cell>
          <cell r="G184">
            <v>8.0189541785080545E-4</v>
          </cell>
          <cell r="H184">
            <v>4.2958833550314693E-5</v>
          </cell>
        </row>
        <row r="185">
          <cell r="B185" t="str">
            <v>RHNS-SHSTG-CHPNGA</v>
          </cell>
          <cell r="C185" t="str">
            <v>VAR_ncap</v>
          </cell>
          <cell r="D185" t="str">
            <v>-</v>
          </cell>
          <cell r="E185">
            <v>4.9947247083001998E-4</v>
          </cell>
          <cell r="F185">
            <v>1.36567173843662E-5</v>
          </cell>
          <cell r="G185">
            <v>7.7824202299579593E-6</v>
          </cell>
          <cell r="H185">
            <v>3.8383394179835402E-6</v>
          </cell>
        </row>
        <row r="186">
          <cell r="B186" t="str">
            <v>RHNS-SHSTG-CHPNGA</v>
          </cell>
          <cell r="C186" t="str">
            <v>VAR_cap</v>
          </cell>
          <cell r="D186" t="str">
            <v>-</v>
          </cell>
          <cell r="E186">
            <v>4.9947247083001998E-4</v>
          </cell>
          <cell r="F186">
            <v>5.1228376382615487E-4</v>
          </cell>
          <cell r="G186">
            <v>5.171154680468843E-4</v>
          </cell>
          <cell r="H186">
            <v>5.0222112339144752E-4</v>
          </cell>
        </row>
        <row r="187">
          <cell r="B187" t="str">
            <v>ITOT-CHPGFC</v>
          </cell>
          <cell r="C187" t="str">
            <v>VAR_fout</v>
          </cell>
          <cell r="D187" t="str">
            <v>ITOT_NKEV_GAS_ELC_CHP</v>
          </cell>
          <cell r="H187">
            <v>3.1198220526869157E-4</v>
          </cell>
        </row>
        <row r="188">
          <cell r="B188" t="str">
            <v>ITOT-CHPGFC</v>
          </cell>
          <cell r="C188" t="str">
            <v>VAR_fout</v>
          </cell>
          <cell r="D188" t="str">
            <v>ITOT_LTH_CHP</v>
          </cell>
          <cell r="H188">
            <v>1.5599110263434578E-4</v>
          </cell>
        </row>
        <row r="189">
          <cell r="B189" t="str">
            <v>ITOT-CHPGFC</v>
          </cell>
          <cell r="C189" t="str">
            <v>VAR_fout</v>
          </cell>
          <cell r="D189" t="str">
            <v>CO2_I</v>
          </cell>
          <cell r="H189">
            <v>3.3838069956065801E-2</v>
          </cell>
        </row>
        <row r="190">
          <cell r="B190" t="str">
            <v>ITOT-CHPGFC</v>
          </cell>
          <cell r="C190" t="str">
            <v>VAR_fin</v>
          </cell>
          <cell r="D190" t="str">
            <v>INGA</v>
          </cell>
          <cell r="H190">
            <v>5.9996577936286791E-4</v>
          </cell>
        </row>
        <row r="191">
          <cell r="B191" t="str">
            <v>ITOT-CHPGFC</v>
          </cell>
          <cell r="C191" t="str">
            <v>VAR_ncap</v>
          </cell>
          <cell r="D191" t="str">
            <v>-</v>
          </cell>
          <cell r="H191">
            <v>3.1801650507618999E-5</v>
          </cell>
        </row>
        <row r="192">
          <cell r="B192" t="str">
            <v>ITOT-CHPGFC</v>
          </cell>
          <cell r="C192" t="str">
            <v>VAR_cap</v>
          </cell>
          <cell r="D192" t="str">
            <v>-</v>
          </cell>
          <cell r="H192">
            <v>3.1801650507618999E-5</v>
          </cell>
        </row>
        <row r="193">
          <cell r="B193" t="str">
            <v>ITOT-SWSTG-CHP</v>
          </cell>
          <cell r="C193" t="str">
            <v>VAR_fout</v>
          </cell>
          <cell r="D193" t="str">
            <v>ITOT_LTH_CHP</v>
          </cell>
          <cell r="E193">
            <v>1.7620195751996055E-4</v>
          </cell>
          <cell r="F193">
            <v>1.6228476594975464E-4</v>
          </cell>
          <cell r="G193">
            <v>2.8051910069384487E-2</v>
          </cell>
          <cell r="H193">
            <v>5.2268777801441832E-3</v>
          </cell>
        </row>
        <row r="194">
          <cell r="B194" t="str">
            <v>ITOT-SWSTG-CHP</v>
          </cell>
          <cell r="C194" t="str">
            <v>VAR_fout</v>
          </cell>
          <cell r="D194" t="str">
            <v>AUX_ITOT-CHP_OUT</v>
          </cell>
          <cell r="E194">
            <v>1.7620195751996023E-4</v>
          </cell>
          <cell r="F194">
            <v>1.6215222773040885E-4</v>
          </cell>
          <cell r="G194">
            <v>2.8016129571847001E-2</v>
          </cell>
          <cell r="H194">
            <v>5.2268777801441936E-3</v>
          </cell>
        </row>
        <row r="195">
          <cell r="B195" t="str">
            <v>ITOT-SWSTG-CHP</v>
          </cell>
          <cell r="C195" t="str">
            <v>VAR_fin</v>
          </cell>
          <cell r="D195" t="str">
            <v>ITOT_LTH_CHP</v>
          </cell>
          <cell r="E195">
            <v>2.0564139452640596E-4</v>
          </cell>
          <cell r="F195">
            <v>1.98169965477784E-4</v>
          </cell>
          <cell r="G195">
            <v>3.3399697085995106E-2</v>
          </cell>
          <cell r="H195">
            <v>6.0095579983505528E-3</v>
          </cell>
        </row>
        <row r="196">
          <cell r="B196" t="str">
            <v>ITOT-SWSTG-CHP</v>
          </cell>
          <cell r="C196" t="str">
            <v>VAR_fin</v>
          </cell>
          <cell r="D196" t="str">
            <v>AUX_ITOT-CHP_IN</v>
          </cell>
          <cell r="E196">
            <v>2.0564139452640596E-4</v>
          </cell>
          <cell r="F196">
            <v>1.98169965477784E-4</v>
          </cell>
          <cell r="G196">
            <v>3.3399697085995106E-2</v>
          </cell>
          <cell r="H196">
            <v>6.0095579983505528E-3</v>
          </cell>
        </row>
        <row r="197">
          <cell r="B197" t="str">
            <v>ITOT-SWSTG-CHP</v>
          </cell>
          <cell r="C197" t="str">
            <v>VAR_ncap</v>
          </cell>
          <cell r="D197" t="str">
            <v>-</v>
          </cell>
          <cell r="E197">
            <v>9.2381114830145301E-4</v>
          </cell>
          <cell r="F197">
            <v>1.0871737572650499E-5</v>
          </cell>
          <cell r="G197">
            <v>1.5295120203E-3</v>
          </cell>
          <cell r="H197">
            <v>5.4138841612233198E-6</v>
          </cell>
        </row>
        <row r="198">
          <cell r="B198" t="str">
            <v>ITOT-SWSTG-CHP</v>
          </cell>
          <cell r="C198" t="str">
            <v>VAR_cap</v>
          </cell>
          <cell r="D198" t="str">
            <v>-</v>
          </cell>
          <cell r="E198">
            <v>9.3412616810327107E-4</v>
          </cell>
          <cell r="F198">
            <v>9.4330108529913593E-4</v>
          </cell>
          <cell r="G198">
            <v>2.4703004074802816E-3</v>
          </cell>
          <cell r="H198">
            <v>2.461210472716665E-3</v>
          </cell>
        </row>
        <row r="199">
          <cell r="B199" t="str">
            <v>D-ELFO</v>
          </cell>
          <cell r="C199" t="str">
            <v>VAR_fout</v>
          </cell>
          <cell r="D199" t="str">
            <v>CO2</v>
          </cell>
          <cell r="E199">
            <v>26.137860936233199</v>
          </cell>
          <cell r="F199">
            <v>16.439531108332002</v>
          </cell>
          <cell r="G199">
            <v>1.3095689327032201</v>
          </cell>
          <cell r="H199">
            <v>0.175338660227215</v>
          </cell>
        </row>
        <row r="200">
          <cell r="B200" t="str">
            <v>D-ELFO</v>
          </cell>
          <cell r="C200" t="str">
            <v>VAR_fout</v>
          </cell>
          <cell r="D200" t="str">
            <v>ELFO</v>
          </cell>
          <cell r="E200">
            <v>0.3487290121798497</v>
          </cell>
          <cell r="F200">
            <v>0.21933475956945367</v>
          </cell>
          <cell r="G200">
            <v>1.747215204018249E-2</v>
          </cell>
          <cell r="H200">
            <v>2.3393527851092318E-3</v>
          </cell>
        </row>
        <row r="201">
          <cell r="B201" t="str">
            <v>D-ELFO</v>
          </cell>
          <cell r="C201" t="str">
            <v>VAR_fin</v>
          </cell>
          <cell r="D201" t="str">
            <v>LFO</v>
          </cell>
          <cell r="E201">
            <v>0.35465211582406025</v>
          </cell>
          <cell r="F201">
            <v>0.22306012358659447</v>
          </cell>
          <cell r="G201">
            <v>1.7768913605199707E-2</v>
          </cell>
          <cell r="H201">
            <v>2.379086298876731E-3</v>
          </cell>
        </row>
        <row r="202">
          <cell r="B202" t="str">
            <v>EHYD-DAM00</v>
          </cell>
          <cell r="C202" t="str">
            <v>VAR_fout</v>
          </cell>
          <cell r="D202" t="str">
            <v>ELC</v>
          </cell>
          <cell r="E202">
            <v>66.745679999995161</v>
          </cell>
          <cell r="F202">
            <v>49.793289548413604</v>
          </cell>
          <cell r="G202">
            <v>69.062284823449332</v>
          </cell>
          <cell r="H202">
            <v>69.66828161323221</v>
          </cell>
        </row>
        <row r="203">
          <cell r="B203" t="str">
            <v>EHYD-DAM00</v>
          </cell>
          <cell r="C203" t="str">
            <v>VAR_fin</v>
          </cell>
          <cell r="D203" t="str">
            <v>HYDD</v>
          </cell>
          <cell r="E203">
            <v>66.745679999995161</v>
          </cell>
          <cell r="F203">
            <v>49.793289548413604</v>
          </cell>
          <cell r="G203">
            <v>69.062284823449332</v>
          </cell>
          <cell r="H203">
            <v>69.66828161323221</v>
          </cell>
        </row>
        <row r="204">
          <cell r="B204" t="str">
            <v>EHYD-DAM00</v>
          </cell>
          <cell r="C204" t="str">
            <v>VAR_cap</v>
          </cell>
          <cell r="D204" t="str">
            <v>-</v>
          </cell>
          <cell r="E204">
            <v>7.3394300010600002</v>
          </cell>
          <cell r="F204">
            <v>7.3394300010600002</v>
          </cell>
          <cell r="G204">
            <v>7.3394300010600002</v>
          </cell>
          <cell r="H204">
            <v>7.3394300010600002</v>
          </cell>
        </row>
        <row r="205">
          <cell r="B205" t="str">
            <v>RHES-SHSTG-CHPWOD</v>
          </cell>
          <cell r="C205" t="str">
            <v>VAR_fout</v>
          </cell>
          <cell r="D205" t="str">
            <v>AUX_RES-CHPWOD_OUT</v>
          </cell>
          <cell r="E205">
            <v>1.1799303866129421E-4</v>
          </cell>
          <cell r="F205">
            <v>6.1370201679629747E-5</v>
          </cell>
          <cell r="G205">
            <v>2.8743736053415435E-5</v>
          </cell>
          <cell r="H205">
            <v>5.5750974433932015E-5</v>
          </cell>
        </row>
        <row r="206">
          <cell r="B206" t="str">
            <v>RHES-SHSTG-CHPWOD</v>
          </cell>
          <cell r="C206" t="str">
            <v>VAR_fout</v>
          </cell>
          <cell r="D206" t="str">
            <v>RHES_LTH_CHPWOD</v>
          </cell>
          <cell r="E206">
            <v>1.1799303866129385E-4</v>
          </cell>
          <cell r="F206">
            <v>6.1411115147416069E-5</v>
          </cell>
          <cell r="G206">
            <v>2.8773677445137697E-5</v>
          </cell>
          <cell r="H206">
            <v>5.5750974433932015E-5</v>
          </cell>
        </row>
        <row r="207">
          <cell r="B207" t="str">
            <v>RHES-SHSTG-CHPWOD</v>
          </cell>
          <cell r="C207" t="str">
            <v>VAR_fin</v>
          </cell>
          <cell r="D207" t="str">
            <v>AUX_RES-CHPWOD_IN</v>
          </cell>
          <cell r="E207">
            <v>9.3900657615845763E-5</v>
          </cell>
          <cell r="F207">
            <v>3.9545900552209913E-5</v>
          </cell>
          <cell r="G207">
            <v>2.3066101969068645E-5</v>
          </cell>
          <cell r="H207">
            <v>4.2957780772146374E-5</v>
          </cell>
        </row>
        <row r="208">
          <cell r="B208" t="str">
            <v>RHES-SHSTG-CHPWOD</v>
          </cell>
          <cell r="C208" t="str">
            <v>VAR_fin</v>
          </cell>
          <cell r="D208" t="str">
            <v>RHES_LTH_CHPWOD</v>
          </cell>
          <cell r="E208">
            <v>9.3900657615845763E-5</v>
          </cell>
          <cell r="F208">
            <v>3.9545900552209913E-5</v>
          </cell>
          <cell r="G208">
            <v>2.3066101969068645E-5</v>
          </cell>
          <cell r="H208">
            <v>4.2957780772146374E-5</v>
          </cell>
        </row>
        <row r="209">
          <cell r="B209" t="str">
            <v>RHES-SHSTG-CHPWOD</v>
          </cell>
          <cell r="C209" t="str">
            <v>VAR_ncap</v>
          </cell>
          <cell r="D209" t="str">
            <v>-</v>
          </cell>
          <cell r="E209">
            <v>3.47630364933572E-4</v>
          </cell>
          <cell r="F209">
            <v>7.7811922613381202E-6</v>
          </cell>
          <cell r="G209">
            <v>7.6676167602887805E-6</v>
          </cell>
          <cell r="H209">
            <v>5.06431369036184E-6</v>
          </cell>
        </row>
        <row r="210">
          <cell r="B210" t="str">
            <v>RHES-SHSTG-CHPWOD</v>
          </cell>
          <cell r="C210" t="str">
            <v>VAR_cap</v>
          </cell>
          <cell r="D210" t="str">
            <v>-</v>
          </cell>
          <cell r="E210">
            <v>3.47630364933572E-4</v>
          </cell>
          <cell r="F210">
            <v>3.5433260237613314E-4</v>
          </cell>
          <cell r="G210">
            <v>3.5875059939528164E-4</v>
          </cell>
          <cell r="H210">
            <v>3.562510653703397E-4</v>
          </cell>
        </row>
        <row r="211">
          <cell r="B211" t="str">
            <v>ESOL-PV_A</v>
          </cell>
          <cell r="C211" t="str">
            <v>VAR_fout</v>
          </cell>
          <cell r="D211" t="str">
            <v>ELC35</v>
          </cell>
          <cell r="H211">
            <v>0.34128036963513902</v>
          </cell>
        </row>
        <row r="212">
          <cell r="B212" t="str">
            <v>ESOL-PV_A</v>
          </cell>
          <cell r="C212" t="str">
            <v>VAR_fin</v>
          </cell>
          <cell r="D212" t="str">
            <v>SOL</v>
          </cell>
          <cell r="H212">
            <v>0.34128036963513902</v>
          </cell>
        </row>
        <row r="213">
          <cell r="B213" t="str">
            <v>ESOL-PV_A</v>
          </cell>
          <cell r="C213" t="str">
            <v>VAR_fin</v>
          </cell>
          <cell r="D213" t="str">
            <v>SOLPVC</v>
          </cell>
          <cell r="H213">
            <v>0.34128036963513902</v>
          </cell>
        </row>
        <row r="214">
          <cell r="B214" t="str">
            <v>ESOL-PV_A</v>
          </cell>
          <cell r="C214" t="str">
            <v>VAR_ncap</v>
          </cell>
          <cell r="D214" t="str">
            <v>-</v>
          </cell>
          <cell r="G214">
            <v>7.5740780559487603E-2</v>
          </cell>
          <cell r="H214">
            <v>6.6973222037978099E-7</v>
          </cell>
        </row>
        <row r="215">
          <cell r="B215" t="str">
            <v>ESOL-PV_A</v>
          </cell>
          <cell r="C215" t="str">
            <v>VAR_cap</v>
          </cell>
          <cell r="D215" t="str">
            <v>-</v>
          </cell>
          <cell r="H215">
            <v>5.2749051384562602E-2</v>
          </cell>
        </row>
        <row r="216">
          <cell r="B216" t="str">
            <v>G-INTC-IND</v>
          </cell>
          <cell r="C216" t="str">
            <v>VAR_fout</v>
          </cell>
          <cell r="D216" t="str">
            <v>ELC35</v>
          </cell>
          <cell r="E216">
            <v>1.4884804063529751E-3</v>
          </cell>
          <cell r="F216">
            <v>5.2969389060648713E-4</v>
          </cell>
          <cell r="G216">
            <v>5.8006133084598514E-4</v>
          </cell>
          <cell r="H216">
            <v>2.4147433993626074E-4</v>
          </cell>
        </row>
        <row r="217">
          <cell r="B217" t="str">
            <v>G-INTC-IND</v>
          </cell>
          <cell r="C217" t="str">
            <v>VAR_fout</v>
          </cell>
          <cell r="D217" t="str">
            <v>ITOT_ELC</v>
          </cell>
          <cell r="E217">
            <v>55.816506089274512</v>
          </cell>
          <cell r="F217">
            <v>56.522737646750905</v>
          </cell>
          <cell r="G217">
            <v>52.721401876948718</v>
          </cell>
          <cell r="H217">
            <v>48.330434695285426</v>
          </cell>
        </row>
        <row r="218">
          <cell r="B218" t="str">
            <v>G-INTC-IND</v>
          </cell>
          <cell r="C218" t="str">
            <v>VAR_fout</v>
          </cell>
          <cell r="D218" t="str">
            <v>ELC13</v>
          </cell>
          <cell r="E218">
            <v>1.4327856059504734E-3</v>
          </cell>
          <cell r="F218">
            <v>3.7540891290442418E-4</v>
          </cell>
          <cell r="G218">
            <v>4.0973465558522774E-4</v>
          </cell>
          <cell r="H218">
            <v>1.8177470176924653E-4</v>
          </cell>
        </row>
        <row r="219">
          <cell r="B219" t="str">
            <v>G-INTC-IND</v>
          </cell>
          <cell r="C219" t="str">
            <v>VAR_fin</v>
          </cell>
          <cell r="D219" t="str">
            <v>ELC3</v>
          </cell>
          <cell r="E219">
            <v>25.749846674564402</v>
          </cell>
          <cell r="F219">
            <v>56.522411337738397</v>
          </cell>
          <cell r="G219">
            <v>52.721072372132326</v>
          </cell>
          <cell r="H219">
            <v>22.143160059862151</v>
          </cell>
        </row>
        <row r="220">
          <cell r="B220" t="str">
            <v>G-INTC-IND</v>
          </cell>
          <cell r="C220" t="str">
            <v>VAR_fin</v>
          </cell>
          <cell r="D220" t="str">
            <v>ELC5</v>
          </cell>
          <cell r="E220">
            <v>30.069563072863843</v>
          </cell>
          <cell r="F220">
            <v>1.2220786466218346E-3</v>
          </cell>
          <cell r="G220">
            <v>1.3078584507215606E-3</v>
          </cell>
          <cell r="H220">
            <v>26.18769265835013</v>
          </cell>
        </row>
        <row r="221">
          <cell r="B221" t="str">
            <v>G-INTC-IND</v>
          </cell>
          <cell r="C221" t="str">
            <v>VAR_ncap</v>
          </cell>
          <cell r="D221" t="str">
            <v>-</v>
          </cell>
          <cell r="E221">
            <v>1.09269234584254E-7</v>
          </cell>
          <cell r="F221">
            <v>9.8857460795931103E-8</v>
          </cell>
          <cell r="G221">
            <v>1.01126171826308E-7</v>
          </cell>
          <cell r="H221">
            <v>1.2240620785812201E-7</v>
          </cell>
        </row>
        <row r="222">
          <cell r="B222" t="str">
            <v>G-INTC-IND</v>
          </cell>
          <cell r="C222" t="str">
            <v>VAR_cap</v>
          </cell>
          <cell r="D222" t="str">
            <v>-</v>
          </cell>
          <cell r="E222">
            <v>4.4927373631622096</v>
          </cell>
          <cell r="F222">
            <v>4.492737398689699</v>
          </cell>
          <cell r="G222">
            <v>4.4927375712889051</v>
          </cell>
          <cell r="H222">
            <v>4.4927377397616679</v>
          </cell>
        </row>
        <row r="223">
          <cell r="B223" t="str">
            <v>ESOL-PV_E</v>
          </cell>
          <cell r="C223" t="str">
            <v>VAR_fout</v>
          </cell>
          <cell r="D223" t="str">
            <v>CELC_E</v>
          </cell>
          <cell r="E223"/>
          <cell r="F223"/>
          <cell r="G223"/>
          <cell r="H223">
            <v>8.6374744128263829E-6</v>
          </cell>
        </row>
        <row r="224">
          <cell r="B224" t="str">
            <v>ESOL-PV_E</v>
          </cell>
          <cell r="C224" t="str">
            <v>VAR_fin</v>
          </cell>
          <cell r="D224" t="str">
            <v>SOL</v>
          </cell>
          <cell r="E224"/>
          <cell r="F224"/>
          <cell r="G224"/>
          <cell r="H224">
            <v>8.6374744128263829E-6</v>
          </cell>
        </row>
        <row r="225">
          <cell r="B225" t="str">
            <v>ESOL-PV_E</v>
          </cell>
          <cell r="C225" t="str">
            <v>VAR_fin</v>
          </cell>
          <cell r="D225" t="str">
            <v>SOLPVC</v>
          </cell>
          <cell r="E225"/>
          <cell r="F225"/>
          <cell r="G225"/>
          <cell r="H225">
            <v>8.6374744128263796E-6</v>
          </cell>
        </row>
        <row r="226">
          <cell r="B226" t="str">
            <v>ESOL-PV_E</v>
          </cell>
          <cell r="C226" t="str">
            <v>VAR_ncap</v>
          </cell>
          <cell r="D226" t="str">
            <v>-</v>
          </cell>
          <cell r="E226"/>
          <cell r="F226"/>
          <cell r="G226"/>
          <cell r="H226">
            <v>2.5305034974046899E-6</v>
          </cell>
        </row>
        <row r="227">
          <cell r="B227" t="str">
            <v>ESOL-PV_E</v>
          </cell>
          <cell r="C227" t="str">
            <v>VAR_cap</v>
          </cell>
          <cell r="D227" t="str">
            <v>-</v>
          </cell>
          <cell r="E227"/>
          <cell r="F227"/>
          <cell r="G227"/>
          <cell r="H227">
            <v>2.5305034974046899E-6</v>
          </cell>
        </row>
        <row r="228">
          <cell r="B228" t="str">
            <v>EWSTINC</v>
          </cell>
          <cell r="C228" t="str">
            <v>VAR_fout</v>
          </cell>
          <cell r="D228" t="str">
            <v>ELC35</v>
          </cell>
          <cell r="E228">
            <v>6.5070001520524157</v>
          </cell>
          <cell r="F228">
            <v>7.3027684791455458</v>
          </cell>
          <cell r="G228">
            <v>8.1988180793970962</v>
          </cell>
          <cell r="H228">
            <v>7.3981388411421944</v>
          </cell>
        </row>
        <row r="229">
          <cell r="B229" t="str">
            <v>EWSTINC</v>
          </cell>
          <cell r="C229" t="str">
            <v>VAR_fout</v>
          </cell>
          <cell r="D229" t="str">
            <v>CO2_E</v>
          </cell>
          <cell r="E229">
            <v>1689.2932358943899</v>
          </cell>
          <cell r="F229">
            <v>1895.8839875287599</v>
          </cell>
          <cell r="G229">
            <v>2128.50892887802</v>
          </cell>
          <cell r="H229">
            <v>1920.64324735065</v>
          </cell>
        </row>
        <row r="230">
          <cell r="B230" t="str">
            <v>EWSTINC</v>
          </cell>
          <cell r="C230" t="str">
            <v>VAR_fin</v>
          </cell>
          <cell r="D230" t="str">
            <v>EWST</v>
          </cell>
          <cell r="E230">
            <v>18.203590904034439</v>
          </cell>
          <cell r="F230">
            <v>20.42978434837023</v>
          </cell>
          <cell r="G230">
            <v>22.936518630151056</v>
          </cell>
          <cell r="H230">
            <v>20.696586717140612</v>
          </cell>
        </row>
        <row r="231">
          <cell r="B231" t="str">
            <v>EWSTINC</v>
          </cell>
          <cell r="C231" t="str">
            <v>VAR_ncap</v>
          </cell>
          <cell r="D231" t="str">
            <v>-</v>
          </cell>
          <cell r="E231"/>
          <cell r="F231">
            <v>4.1905992957292102E-8</v>
          </cell>
          <cell r="G231">
            <v>9.4402605497841098E-8</v>
          </cell>
          <cell r="H231">
            <v>5.4107989895066502E-2</v>
          </cell>
        </row>
        <row r="232">
          <cell r="B232" t="str">
            <v>EWSTINC</v>
          </cell>
          <cell r="C232" t="str">
            <v>VAR_cap</v>
          </cell>
          <cell r="D232" t="str">
            <v>-</v>
          </cell>
          <cell r="E232">
            <v>0.30586268122458643</v>
          </cell>
          <cell r="F232">
            <v>0.30586220918301166</v>
          </cell>
          <cell r="G232">
            <v>0.30586216537556749</v>
          </cell>
          <cell r="H232">
            <v>0.2759923019498291</v>
          </cell>
        </row>
        <row r="233">
          <cell r="B233" t="str">
            <v>D-IBIO</v>
          </cell>
          <cell r="C233" t="str">
            <v>VAR_fout</v>
          </cell>
          <cell r="D233" t="str">
            <v>IBIO</v>
          </cell>
          <cell r="E233">
            <v>0.43672788829695591</v>
          </cell>
          <cell r="F233">
            <v>0.552066785112303</v>
          </cell>
          <cell r="G233">
            <v>1.7181878395373353</v>
          </cell>
          <cell r="H233">
            <v>4.5887008579231034</v>
          </cell>
        </row>
        <row r="234">
          <cell r="B234" t="str">
            <v>D-IBIO</v>
          </cell>
          <cell r="C234" t="str">
            <v>VAR_fin</v>
          </cell>
          <cell r="D234" t="str">
            <v>BIO</v>
          </cell>
          <cell r="E234">
            <v>0.43672788829695591</v>
          </cell>
          <cell r="F234">
            <v>0.552066785112303</v>
          </cell>
          <cell r="G234">
            <v>1.7181878395373353</v>
          </cell>
          <cell r="H234">
            <v>4.5887008579231034</v>
          </cell>
        </row>
        <row r="235">
          <cell r="B235" t="str">
            <v>D-EWOD</v>
          </cell>
          <cell r="C235" t="str">
            <v>VAR_fout</v>
          </cell>
          <cell r="D235" t="str">
            <v>EWOD</v>
          </cell>
          <cell r="E235">
            <v>3.3633999249739217</v>
          </cell>
          <cell r="F235">
            <v>1.9983125686156127</v>
          </cell>
          <cell r="G235">
            <v>1.5287859196233764</v>
          </cell>
          <cell r="H235">
            <v>5.0177672512169078</v>
          </cell>
        </row>
        <row r="236">
          <cell r="B236" t="str">
            <v>D-EWOD</v>
          </cell>
          <cell r="C236" t="str">
            <v>VAR_fin</v>
          </cell>
          <cell r="D236" t="str">
            <v>WOD</v>
          </cell>
          <cell r="E236">
            <v>3.3633999249739217</v>
          </cell>
          <cell r="F236">
            <v>1.9983125686156127</v>
          </cell>
          <cell r="G236">
            <v>1.5287859196233764</v>
          </cell>
          <cell r="H236">
            <v>5.0177672512169078</v>
          </cell>
        </row>
        <row r="237">
          <cell r="B237" t="str">
            <v>HPLWOD</v>
          </cell>
          <cell r="C237" t="str">
            <v>VAR_fout</v>
          </cell>
          <cell r="D237" t="str">
            <v>LTH</v>
          </cell>
          <cell r="E237">
            <v>1.3304362853182492</v>
          </cell>
          <cell r="F237">
            <v>1.2007174356058459</v>
          </cell>
          <cell r="G237">
            <v>1.0294642410766712</v>
          </cell>
          <cell r="H237">
            <v>0.79658032335149787</v>
          </cell>
        </row>
        <row r="238">
          <cell r="B238" t="str">
            <v>HPLWOD</v>
          </cell>
          <cell r="C238" t="str">
            <v>VAR_fin</v>
          </cell>
          <cell r="D238" t="str">
            <v>EWOD</v>
          </cell>
          <cell r="E238">
            <v>1.900623264740356</v>
          </cell>
          <cell r="F238">
            <v>1.7153106222940671</v>
          </cell>
          <cell r="G238">
            <v>1.4706632015381014</v>
          </cell>
          <cell r="H238">
            <v>1.1379718905021399</v>
          </cell>
        </row>
        <row r="239">
          <cell r="B239" t="str">
            <v>HPLWOD</v>
          </cell>
          <cell r="C239" t="str">
            <v>VAR_ncap</v>
          </cell>
          <cell r="D239" t="str">
            <v>-</v>
          </cell>
          <cell r="E239">
            <v>0.16875154296967301</v>
          </cell>
          <cell r="F239">
            <v>1.7612676400940301E-7</v>
          </cell>
          <cell r="G239">
            <v>2.3337619660314501E-7</v>
          </cell>
          <cell r="H239">
            <v>2.5246036703722501E-7</v>
          </cell>
        </row>
        <row r="240">
          <cell r="B240" t="str">
            <v>HPLWOD</v>
          </cell>
          <cell r="C240" t="str">
            <v>VAR_cap</v>
          </cell>
          <cell r="D240" t="str">
            <v>-</v>
          </cell>
          <cell r="E240">
            <v>0.16875154296967301</v>
          </cell>
          <cell r="F240">
            <v>0.16875171909643699</v>
          </cell>
          <cell r="G240">
            <v>0.168751952472633</v>
          </cell>
          <cell r="H240">
            <v>0.168752204933</v>
          </cell>
        </row>
        <row r="241">
          <cell r="B241" t="str">
            <v>ENGA-GTCC</v>
          </cell>
          <cell r="C241" t="str">
            <v>VAR_fout</v>
          </cell>
          <cell r="D241" t="str">
            <v>ELC13</v>
          </cell>
          <cell r="E241"/>
          <cell r="F241"/>
          <cell r="G241"/>
          <cell r="H241"/>
        </row>
        <row r="242">
          <cell r="B242" t="str">
            <v>ENGA-GTCC</v>
          </cell>
          <cell r="C242" t="str">
            <v>VAR_fout</v>
          </cell>
          <cell r="D242" t="str">
            <v>CO2_E</v>
          </cell>
          <cell r="E242"/>
          <cell r="F242"/>
          <cell r="G242"/>
          <cell r="H242"/>
        </row>
        <row r="243">
          <cell r="B243" t="str">
            <v>ENGA-GTCC</v>
          </cell>
          <cell r="C243" t="str">
            <v>VAR_fin</v>
          </cell>
          <cell r="D243" t="str">
            <v>ENGA</v>
          </cell>
          <cell r="E243"/>
          <cell r="F243"/>
          <cell r="G243"/>
          <cell r="H243"/>
        </row>
        <row r="244">
          <cell r="B244" t="str">
            <v>ENGA-GTCC</v>
          </cell>
          <cell r="C244" t="str">
            <v>VAR_fin</v>
          </cell>
          <cell r="D244" t="str">
            <v>GTC</v>
          </cell>
          <cell r="E244"/>
          <cell r="F244"/>
          <cell r="G244"/>
          <cell r="H244"/>
        </row>
        <row r="245">
          <cell r="B245" t="str">
            <v>ENGA-GTCC</v>
          </cell>
          <cell r="C245" t="str">
            <v>VAR_ncap</v>
          </cell>
          <cell r="D245" t="str">
            <v>-</v>
          </cell>
          <cell r="E245"/>
          <cell r="F245"/>
          <cell r="G245"/>
          <cell r="H245"/>
        </row>
        <row r="246">
          <cell r="B246" t="str">
            <v>ENGA-GTCC</v>
          </cell>
          <cell r="C246" t="str">
            <v>VAR_cap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D-SNGA</v>
          </cell>
          <cell r="C247" t="str">
            <v>VAR_fout</v>
          </cell>
          <cell r="D247" t="str">
            <v>CO2</v>
          </cell>
          <cell r="E247">
            <v>1521.83054530101</v>
          </cell>
          <cell r="F247">
            <v>1505.0978421386101</v>
          </cell>
          <cell r="G247">
            <v>1385.92866279088</v>
          </cell>
          <cell r="H247">
            <v>1283.4050313791199</v>
          </cell>
        </row>
        <row r="248">
          <cell r="B248" t="str">
            <v>D-SNGA</v>
          </cell>
          <cell r="C248" t="str">
            <v>VAR_fout</v>
          </cell>
          <cell r="D248" t="str">
            <v>SNGA</v>
          </cell>
          <cell r="E248">
            <v>27.203967279510259</v>
          </cell>
          <cell r="F248">
            <v>28.488315909593684</v>
          </cell>
          <cell r="G248">
            <v>24.958895149710372</v>
          </cell>
          <cell r="H248">
            <v>22.683637796084472</v>
          </cell>
        </row>
        <row r="249">
          <cell r="B249" t="str">
            <v>D-SNGA</v>
          </cell>
          <cell r="C249" t="str">
            <v>VAR_fin</v>
          </cell>
          <cell r="D249" t="str">
            <v>NGA</v>
          </cell>
          <cell r="E249">
            <v>26.982811086897318</v>
          </cell>
          <cell r="F249">
            <v>26.686131952812307</v>
          </cell>
          <cell r="G249">
            <v>24.573203240972994</v>
          </cell>
          <cell r="H249">
            <v>22.755408357785878</v>
          </cell>
        </row>
        <row r="250">
          <cell r="B250" t="str">
            <v>D-SNGA</v>
          </cell>
          <cell r="C250" t="str">
            <v>VAR_fin</v>
          </cell>
          <cell r="D250" t="str">
            <v>BNGA</v>
          </cell>
          <cell r="E250">
            <v>0.30806251935707485</v>
          </cell>
          <cell r="F250">
            <v>1.8931932888170695</v>
          </cell>
          <cell r="G250">
            <v>0.46542608407904179</v>
          </cell>
          <cell r="H250">
            <v>6.9654312507220085E-4</v>
          </cell>
        </row>
        <row r="251">
          <cell r="B251" t="str">
            <v>D-SNGA</v>
          </cell>
          <cell r="C251" t="str">
            <v>VAR_ncap</v>
          </cell>
          <cell r="D251" t="str">
            <v>-</v>
          </cell>
          <cell r="E251">
            <v>7.3970535087961806E-8</v>
          </cell>
          <cell r="F251">
            <v>2.9019836902292399E-8</v>
          </cell>
          <cell r="G251">
            <v>3.4887330160566701E-8</v>
          </cell>
          <cell r="H251">
            <v>4.0834057865580099E-8</v>
          </cell>
        </row>
        <row r="252">
          <cell r="B252" t="str">
            <v>D-SNGA</v>
          </cell>
          <cell r="C252" t="str">
            <v>VAR_cap</v>
          </cell>
          <cell r="D252" t="str">
            <v>-</v>
          </cell>
          <cell r="E252">
            <v>2.2350522755956752</v>
          </cell>
          <cell r="F252">
            <v>2.235052304615512</v>
          </cell>
          <cell r="G252">
            <v>2.2350523395028423</v>
          </cell>
          <cell r="H252">
            <v>2.2350523803369002</v>
          </cell>
        </row>
        <row r="253">
          <cell r="B253" t="str">
            <v>RHES-CHPWOD</v>
          </cell>
          <cell r="C253" t="str">
            <v>VAR_ncap</v>
          </cell>
          <cell r="D253" t="str">
            <v>-</v>
          </cell>
          <cell r="E253"/>
          <cell r="F253"/>
          <cell r="G253"/>
          <cell r="H253">
            <v>7.0753933686512205E-7</v>
          </cell>
        </row>
        <row r="254">
          <cell r="B254" t="str">
            <v>RHES-CHPWOD</v>
          </cell>
          <cell r="C254" t="str">
            <v>VAR_cap</v>
          </cell>
          <cell r="D254" t="str">
            <v>-</v>
          </cell>
          <cell r="E254"/>
          <cell r="F254"/>
          <cell r="G254"/>
          <cell r="H254">
            <v>7.0753933686512205E-7</v>
          </cell>
        </row>
        <row r="255">
          <cell r="B255" t="str">
            <v>G-INTC-RES</v>
          </cell>
          <cell r="C255" t="str">
            <v>VAR_fout</v>
          </cell>
          <cell r="D255" t="str">
            <v>RHNS_ELC</v>
          </cell>
          <cell r="E255">
            <v>11.977455902717512</v>
          </cell>
          <cell r="F255">
            <v>14.567590940380706</v>
          </cell>
          <cell r="G255">
            <v>14.843932283377749</v>
          </cell>
          <cell r="H255">
            <v>14.988113246152022</v>
          </cell>
        </row>
        <row r="256">
          <cell r="B256" t="str">
            <v>G-INTC-RES</v>
          </cell>
          <cell r="C256" t="str">
            <v>VAR_fout</v>
          </cell>
          <cell r="D256" t="str">
            <v>ELC35</v>
          </cell>
          <cell r="E256">
            <v>1.5165193176249483E-3</v>
          </cell>
          <cell r="F256">
            <v>3.6730915117811686E-4</v>
          </cell>
          <cell r="G256">
            <v>3.9214696788507987E-4</v>
          </cell>
          <cell r="H256">
            <v>1.9316410692473814E-4</v>
          </cell>
        </row>
        <row r="257">
          <cell r="B257" t="str">
            <v>G-INTC-RES</v>
          </cell>
          <cell r="C257" t="str">
            <v>VAR_fout</v>
          </cell>
          <cell r="D257" t="str">
            <v>RHES_ELC</v>
          </cell>
          <cell r="E257">
            <v>21.0385045129518</v>
          </cell>
          <cell r="F257">
            <v>17.880559582404739</v>
          </cell>
          <cell r="G257">
            <v>17.502687524898004</v>
          </cell>
          <cell r="H257">
            <v>17.435933973685149</v>
          </cell>
        </row>
        <row r="258">
          <cell r="B258" t="str">
            <v>G-INTC-RES</v>
          </cell>
          <cell r="C258" t="str">
            <v>VAR_fout</v>
          </cell>
          <cell r="D258" t="str">
            <v>RHNM_ELC</v>
          </cell>
          <cell r="E258">
            <v>11.285979801669754</v>
          </cell>
          <cell r="F258">
            <v>14.592621828905049</v>
          </cell>
          <cell r="G258">
            <v>14.079170229606195</v>
          </cell>
          <cell r="H258">
            <v>14.142687024748234</v>
          </cell>
        </row>
        <row r="259">
          <cell r="B259" t="str">
            <v>G-INTC-RES</v>
          </cell>
          <cell r="C259" t="str">
            <v>VAR_fout</v>
          </cell>
          <cell r="D259" t="str">
            <v>RHEM_ELC</v>
          </cell>
          <cell r="E259">
            <v>22.185235826091056</v>
          </cell>
          <cell r="F259">
            <v>18.308631825626591</v>
          </cell>
          <cell r="G259">
            <v>15.560818710806547</v>
          </cell>
          <cell r="H259">
            <v>16.040579193635818</v>
          </cell>
        </row>
        <row r="260">
          <cell r="B260" t="str">
            <v>G-INTC-RES</v>
          </cell>
          <cell r="C260" t="str">
            <v>VAR_fin</v>
          </cell>
          <cell r="D260" t="str">
            <v>ELC5</v>
          </cell>
          <cell r="E260">
            <v>66.488674973573183</v>
          </cell>
          <cell r="F260">
            <v>65.349771486468271</v>
          </cell>
          <cell r="G260">
            <v>61.987000895656372</v>
          </cell>
          <cell r="H260">
            <v>62.607500239714639</v>
          </cell>
        </row>
        <row r="261">
          <cell r="B261" t="str">
            <v>G-INTC-RES</v>
          </cell>
          <cell r="C261" t="str">
            <v>VAR_ncap</v>
          </cell>
          <cell r="D261" t="str">
            <v>-</v>
          </cell>
          <cell r="E261">
            <v>1.34158584172222E-8</v>
          </cell>
          <cell r="F261">
            <v>1.38183413378009E-8</v>
          </cell>
          <cell r="G261">
            <v>1.44284524138578E-8</v>
          </cell>
          <cell r="H261">
            <v>1.7943552185681899E-8</v>
          </cell>
        </row>
        <row r="262">
          <cell r="B262" t="str">
            <v>G-INTC-RES</v>
          </cell>
          <cell r="C262" t="str">
            <v>VAR_cap</v>
          </cell>
          <cell r="D262" t="str">
            <v>-</v>
          </cell>
          <cell r="E262">
            <v>4.3300925142827298</v>
          </cell>
          <cell r="F262">
            <v>4.3300925186447241</v>
          </cell>
          <cell r="G262">
            <v>4.3300925415169296</v>
          </cell>
          <cell r="H262">
            <v>4.3300925658177327</v>
          </cell>
        </row>
        <row r="263">
          <cell r="B263" t="str">
            <v>SCOM-CHPNGA</v>
          </cell>
          <cell r="C263" t="str">
            <v>VAR_fout</v>
          </cell>
          <cell r="D263" t="str">
            <v>CO2_S</v>
          </cell>
          <cell r="E263">
            <v>93.3577712244346</v>
          </cell>
          <cell r="F263">
            <v>98.053322197431498</v>
          </cell>
          <cell r="G263">
            <v>2.3960071960436502</v>
          </cell>
          <cell r="H263"/>
        </row>
        <row r="264">
          <cell r="B264" t="str">
            <v>SCOM-CHPNGA</v>
          </cell>
          <cell r="C264" t="str">
            <v>VAR_fout</v>
          </cell>
          <cell r="D264" t="str">
            <v>SCOM_NKEV_GAS_ELC_CHP</v>
          </cell>
          <cell r="E264">
            <v>0.59440009100289515</v>
          </cell>
          <cell r="F264">
            <v>0.6258699299833278</v>
          </cell>
          <cell r="G264">
            <v>1.5073805788654335E-2</v>
          </cell>
          <cell r="H264"/>
        </row>
        <row r="265">
          <cell r="B265" t="str">
            <v>SCOM-CHPNGA</v>
          </cell>
          <cell r="C265" t="str">
            <v>VAR_fout</v>
          </cell>
          <cell r="D265" t="str">
            <v>SCOM_LTH_CHPNGA</v>
          </cell>
          <cell r="E265">
            <v>0.69257884120802715</v>
          </cell>
          <cell r="F265">
            <v>0.75020246803404356</v>
          </cell>
          <cell r="G265">
            <v>1.8825368978488858E-2</v>
          </cell>
          <cell r="H265"/>
        </row>
        <row r="266">
          <cell r="B266" t="str">
            <v>SCOM-CHPNGA</v>
          </cell>
          <cell r="C266" t="str">
            <v>VAR_fin</v>
          </cell>
          <cell r="D266" t="str">
            <v>SNGA</v>
          </cell>
          <cell r="E266">
            <v>1.655279631638912</v>
          </cell>
          <cell r="F266">
            <v>1.7385340815147439</v>
          </cell>
          <cell r="G266">
            <v>4.2482397092972579E-2</v>
          </cell>
          <cell r="H266"/>
        </row>
        <row r="267">
          <cell r="B267" t="str">
            <v>SCOM-CHPNGA</v>
          </cell>
          <cell r="C267" t="str">
            <v>VAR_ncap</v>
          </cell>
          <cell r="D267" t="str">
            <v>-</v>
          </cell>
          <cell r="E267"/>
          <cell r="F267">
            <v>2.7170740878326799E-2</v>
          </cell>
          <cell r="G267">
            <v>1.33784884002385E-8</v>
          </cell>
          <cell r="H267">
            <v>2.1006864876620199E-8</v>
          </cell>
        </row>
        <row r="268">
          <cell r="B268" t="str">
            <v>SCOM-CHPNGA</v>
          </cell>
          <cell r="C268" t="str">
            <v>VAR_cap</v>
          </cell>
          <cell r="D268" t="str">
            <v>-</v>
          </cell>
          <cell r="E268">
            <v>6.5199883456219868E-2</v>
          </cell>
          <cell r="F268">
            <v>4.7876845561993231E-2</v>
          </cell>
          <cell r="G268">
            <v>8.9914882571760085E-4</v>
          </cell>
          <cell r="H268">
            <v>7.4967982266395394E-5</v>
          </cell>
        </row>
        <row r="269">
          <cell r="B269" t="str">
            <v>D-IPLT</v>
          </cell>
          <cell r="C269" t="str">
            <v>VAR_fout</v>
          </cell>
          <cell r="D269" t="str">
            <v>IPLT</v>
          </cell>
          <cell r="E269">
            <v>0.62578933952296967</v>
          </cell>
          <cell r="F269">
            <v>0.73757443264065503</v>
          </cell>
          <cell r="G269">
            <v>0.73639804823255517</v>
          </cell>
          <cell r="H269">
            <v>0.73433146241348601</v>
          </cell>
        </row>
        <row r="270">
          <cell r="B270" t="str">
            <v>D-IPLT</v>
          </cell>
          <cell r="C270" t="str">
            <v>VAR_fin</v>
          </cell>
          <cell r="D270" t="str">
            <v>PLT</v>
          </cell>
          <cell r="E270">
            <v>0.62578933952296967</v>
          </cell>
          <cell r="F270">
            <v>0.73757443264065503</v>
          </cell>
          <cell r="G270">
            <v>0.73639804823255517</v>
          </cell>
          <cell r="H270">
            <v>0.73433146241348601</v>
          </cell>
        </row>
        <row r="271">
          <cell r="B271" t="str">
            <v>LTH-STG</v>
          </cell>
          <cell r="C271" t="str">
            <v>VAR_fout</v>
          </cell>
          <cell r="D271" t="str">
            <v>AUX_LTH-STG_OUT</v>
          </cell>
          <cell r="E271">
            <v>7.4640809203788616E-5</v>
          </cell>
          <cell r="F271">
            <v>1.2480165630579651E-4</v>
          </cell>
          <cell r="G271">
            <v>1.3797577854514737E-3</v>
          </cell>
          <cell r="H271">
            <v>2.9309867245594834E-4</v>
          </cell>
        </row>
        <row r="272">
          <cell r="B272" t="str">
            <v>LTH-STG</v>
          </cell>
          <cell r="C272" t="str">
            <v>VAR_fout</v>
          </cell>
          <cell r="D272" t="str">
            <v>LTH</v>
          </cell>
          <cell r="E272">
            <v>7.4640809203788372E-5</v>
          </cell>
          <cell r="F272">
            <v>1.2488485741000014E-4</v>
          </cell>
          <cell r="G272">
            <v>1.3811950331446515E-3</v>
          </cell>
          <cell r="H272">
            <v>2.9309867245594834E-4</v>
          </cell>
        </row>
        <row r="273">
          <cell r="B273" t="str">
            <v>LTH-STG</v>
          </cell>
          <cell r="C273" t="str">
            <v>VAR_fin</v>
          </cell>
          <cell r="D273" t="str">
            <v>AUX_LTH-STG_IN</v>
          </cell>
          <cell r="E273">
            <v>1.0001657420504572E-4</v>
          </cell>
          <cell r="F273">
            <v>1.6363571340421737E-4</v>
          </cell>
          <cell r="G273">
            <v>1.7826774733975955E-3</v>
          </cell>
          <cell r="H273">
            <v>3.6502105140890506E-4</v>
          </cell>
        </row>
        <row r="274">
          <cell r="B274" t="str">
            <v>LTH-STG</v>
          </cell>
          <cell r="C274" t="str">
            <v>VAR_fin</v>
          </cell>
          <cell r="D274" t="str">
            <v>LTH</v>
          </cell>
          <cell r="E274">
            <v>1.0001657420504572E-4</v>
          </cell>
          <cell r="F274">
            <v>1.6363571340421737E-4</v>
          </cell>
          <cell r="G274">
            <v>1.7826774733975955E-3</v>
          </cell>
          <cell r="H274">
            <v>3.6502105140890506E-4</v>
          </cell>
        </row>
        <row r="275">
          <cell r="B275" t="str">
            <v>LTH-STG</v>
          </cell>
          <cell r="C275" t="str">
            <v>VAR_ncap</v>
          </cell>
          <cell r="D275" t="str">
            <v>-</v>
          </cell>
          <cell r="E275">
            <v>1.54382082053499E-5</v>
          </cell>
          <cell r="F275">
            <v>9.1469394625827704E-7</v>
          </cell>
          <cell r="G275">
            <v>8.0650277714996204E-7</v>
          </cell>
          <cell r="H275">
            <v>1.1199312165608701E-6</v>
          </cell>
        </row>
        <row r="276">
          <cell r="B276" t="str">
            <v>LTH-STG</v>
          </cell>
          <cell r="C276" t="str">
            <v>VAR_cap</v>
          </cell>
          <cell r="D276" t="str">
            <v>-</v>
          </cell>
          <cell r="E276">
            <v>1.7996955255250284E-4</v>
          </cell>
          <cell r="F276">
            <v>1.5821706071297772E-4</v>
          </cell>
          <cell r="G276">
            <v>1.5412142318236901E-4</v>
          </cell>
          <cell r="H276">
            <v>5.4828523879851904E-5</v>
          </cell>
        </row>
        <row r="277">
          <cell r="B277" t="str">
            <v>ITOT-CHPOIL</v>
          </cell>
          <cell r="C277" t="str">
            <v>VAR_fout</v>
          </cell>
          <cell r="D277" t="str">
            <v>ITOT_LTH_CHP</v>
          </cell>
          <cell r="E277">
            <v>0.9293540184727046</v>
          </cell>
          <cell r="F277">
            <v>2.0719699777675049</v>
          </cell>
          <cell r="G277">
            <v>0.10186488424774717</v>
          </cell>
          <cell r="H277">
            <v>1.3179018489092584</v>
          </cell>
        </row>
        <row r="278">
          <cell r="B278" t="str">
            <v>ITOT-CHPOIL</v>
          </cell>
          <cell r="C278" t="str">
            <v>VAR_fout</v>
          </cell>
          <cell r="D278" t="str">
            <v>ITOT_NKEV_OIL_ELC_CHP</v>
          </cell>
          <cell r="E278">
            <v>7.0502718642756743E-2</v>
          </cell>
          <cell r="F278">
            <v>0.17144535464502705</v>
          </cell>
          <cell r="G278">
            <v>9.7566647758342648E-3</v>
          </cell>
          <cell r="H278">
            <v>0.17117233291840359</v>
          </cell>
        </row>
        <row r="279">
          <cell r="B279" t="str">
            <v>ITOT-CHPOIL</v>
          </cell>
          <cell r="C279" t="str">
            <v>VAR_fout</v>
          </cell>
          <cell r="D279" t="str">
            <v>CO2_I</v>
          </cell>
          <cell r="E279">
            <v>21.539478541644101</v>
          </cell>
          <cell r="F279">
            <v>51.224251441222599</v>
          </cell>
          <cell r="G279">
            <v>2.8874611387739901</v>
          </cell>
          <cell r="H279">
            <v>47.9013170350648</v>
          </cell>
        </row>
        <row r="280">
          <cell r="B280" t="str">
            <v>ITOT-CHPOIL</v>
          </cell>
          <cell r="C280" t="str">
            <v>VAR_fin</v>
          </cell>
          <cell r="D280" t="str">
            <v>ILFO</v>
          </cell>
          <cell r="E280">
            <v>0.29225886759354214</v>
          </cell>
          <cell r="F280">
            <v>0.69503733298809534</v>
          </cell>
          <cell r="G280">
            <v>3.9178577188249603E-2</v>
          </cell>
          <cell r="H280">
            <v>0.64995002761281984</v>
          </cell>
        </row>
        <row r="281">
          <cell r="B281" t="str">
            <v>ITOT-CHPOIL</v>
          </cell>
          <cell r="C281" t="str">
            <v>VAR_ncap</v>
          </cell>
          <cell r="D281" t="str">
            <v>-</v>
          </cell>
          <cell r="E281"/>
          <cell r="F281">
            <v>6.1416293832427804E-3</v>
          </cell>
          <cell r="G281">
            <v>2.39098461257324E-3</v>
          </cell>
          <cell r="H281">
            <v>1.47403717868171E-2</v>
          </cell>
        </row>
        <row r="282">
          <cell r="B282" t="str">
            <v>ITOT-CHPOIL</v>
          </cell>
          <cell r="C282" t="str">
            <v>VAR_cap</v>
          </cell>
          <cell r="D282" t="str">
            <v>-</v>
          </cell>
          <cell r="E282">
            <v>8.3052325815200796E-3</v>
          </cell>
          <cell r="F282">
            <v>7.0743874282106203E-3</v>
          </cell>
          <cell r="G282">
            <v>9.4652080890489324E-3</v>
          </cell>
          <cell r="H282">
            <v>2.4205518852551837E-2</v>
          </cell>
        </row>
        <row r="283">
          <cell r="B283" t="str">
            <v>ENUC_GOE</v>
          </cell>
          <cell r="C283" t="str">
            <v>VAR_fout</v>
          </cell>
          <cell r="D283" t="str">
            <v>ELC</v>
          </cell>
          <cell r="E283">
            <v>29.714400002709503</v>
          </cell>
          <cell r="F283">
            <v>29.714398237795031</v>
          </cell>
          <cell r="G283">
            <v>29.714408035736611</v>
          </cell>
          <cell r="H283">
            <v>29.71440451435582</v>
          </cell>
        </row>
        <row r="284">
          <cell r="B284" t="str">
            <v>ENUC_GOE</v>
          </cell>
          <cell r="C284" t="str">
            <v>VAR_fin</v>
          </cell>
          <cell r="D284" t="str">
            <v>URN</v>
          </cell>
          <cell r="E284">
            <v>89.580575361887639</v>
          </cell>
          <cell r="F284">
            <v>89.580570041165956</v>
          </cell>
          <cell r="G284">
            <v>89.580599579209647</v>
          </cell>
          <cell r="H284">
            <v>89.580588963234931</v>
          </cell>
        </row>
        <row r="285">
          <cell r="B285" t="str">
            <v>ENUC_GOE</v>
          </cell>
          <cell r="C285" t="str">
            <v>VAR_cap</v>
          </cell>
          <cell r="D285" t="str">
            <v>-</v>
          </cell>
          <cell r="E285">
            <v>1.01</v>
          </cell>
          <cell r="F285">
            <v>1.0099999801229458</v>
          </cell>
          <cell r="G285">
            <v>1.0100002370150198</v>
          </cell>
          <cell r="H285">
            <v>1.010000142956041</v>
          </cell>
        </row>
        <row r="286">
          <cell r="B286" t="str">
            <v>D-RNGA</v>
          </cell>
          <cell r="C286" t="str">
            <v>VAR_fout</v>
          </cell>
          <cell r="D286" t="str">
            <v>CO2</v>
          </cell>
          <cell r="E286">
            <v>2650.5234539707799</v>
          </cell>
          <cell r="F286">
            <v>2560.5947498866699</v>
          </cell>
          <cell r="G286">
            <v>2694.9222181602699</v>
          </cell>
          <cell r="H286">
            <v>2464.8626803311599</v>
          </cell>
        </row>
        <row r="287">
          <cell r="B287" t="str">
            <v>D-RNGA</v>
          </cell>
          <cell r="C287" t="str">
            <v>VAR_fout</v>
          </cell>
          <cell r="D287" t="str">
            <v>RNGA</v>
          </cell>
          <cell r="E287">
            <v>47.156834148818611</v>
          </cell>
          <cell r="F287">
            <v>47.60360786550536</v>
          </cell>
          <cell r="G287">
            <v>48.158844776495272</v>
          </cell>
          <cell r="H287">
            <v>43.564764849730594</v>
          </cell>
        </row>
        <row r="288">
          <cell r="B288" t="str">
            <v>D-RNGA</v>
          </cell>
          <cell r="C288" t="str">
            <v>VAR_fin</v>
          </cell>
          <cell r="D288" t="str">
            <v>NGA</v>
          </cell>
          <cell r="E288">
            <v>46.995096701609548</v>
          </cell>
          <cell r="F288">
            <v>45.400616132742293</v>
          </cell>
          <cell r="G288">
            <v>47.782308832628871</v>
          </cell>
          <cell r="H288">
            <v>43.703239012963891</v>
          </cell>
        </row>
        <row r="289">
          <cell r="B289" t="str">
            <v>D-RNGA</v>
          </cell>
          <cell r="C289" t="str">
            <v>VAR_fin</v>
          </cell>
          <cell r="D289" t="str">
            <v>BNGA</v>
          </cell>
          <cell r="E289">
            <v>0.31238559329190579</v>
          </cell>
          <cell r="F289">
            <v>2.3550671509126579</v>
          </cell>
          <cell r="G289">
            <v>0.53038513272785937</v>
          </cell>
          <cell r="H289">
            <v>6.9868790494325697E-4</v>
          </cell>
        </row>
        <row r="290">
          <cell r="B290" t="str">
            <v>D-RNGA</v>
          </cell>
          <cell r="C290" t="str">
            <v>VAR_ncap</v>
          </cell>
          <cell r="D290" t="str">
            <v>-</v>
          </cell>
          <cell r="E290">
            <v>3.5259530789771497E-8</v>
          </cell>
          <cell r="F290">
            <v>1.86958403953388E-8</v>
          </cell>
          <cell r="G290">
            <v>2.39019882737386E-8</v>
          </cell>
          <cell r="H290">
            <v>2.3304964486187301E-8</v>
          </cell>
        </row>
        <row r="291">
          <cell r="B291" t="str">
            <v>D-RNGA</v>
          </cell>
          <cell r="C291" t="str">
            <v>VAR_cap</v>
          </cell>
          <cell r="D291" t="str">
            <v>-</v>
          </cell>
          <cell r="E291">
            <v>3.0972400426554509</v>
          </cell>
          <cell r="F291">
            <v>3.0972400613512914</v>
          </cell>
          <cell r="G291">
            <v>3.0972400852532798</v>
          </cell>
          <cell r="H291">
            <v>3.0972401085582439</v>
          </cell>
        </row>
        <row r="292">
          <cell r="B292" t="str">
            <v>RHES-CHPGFC</v>
          </cell>
          <cell r="C292" t="str">
            <v>VAR_ncap</v>
          </cell>
          <cell r="D292" t="str">
            <v>-</v>
          </cell>
          <cell r="E292"/>
          <cell r="F292"/>
          <cell r="G292"/>
          <cell r="H292">
            <v>3.8507000668095902E-7</v>
          </cell>
        </row>
        <row r="293">
          <cell r="B293" t="str">
            <v>RHES-CHPGFC</v>
          </cell>
          <cell r="C293" t="str">
            <v>VAR_cap</v>
          </cell>
          <cell r="D293" t="str">
            <v>-</v>
          </cell>
          <cell r="E293"/>
          <cell r="F293"/>
          <cell r="G293"/>
          <cell r="H293">
            <v>3.8507000668095902E-7</v>
          </cell>
        </row>
        <row r="294">
          <cell r="B294" t="str">
            <v>G-INTC-TRA</v>
          </cell>
          <cell r="C294" t="str">
            <v>VAR_fout</v>
          </cell>
          <cell r="D294" t="str">
            <v>TRAN_ELC</v>
          </cell>
          <cell r="E294">
            <v>10.817139810564898</v>
          </cell>
          <cell r="F294">
            <v>12.278006900946197</v>
          </cell>
          <cell r="G294">
            <v>15.613560964250466</v>
          </cell>
          <cell r="H294">
            <v>30.158546566690006</v>
          </cell>
        </row>
        <row r="295">
          <cell r="B295" t="str">
            <v>G-INTC-TRA</v>
          </cell>
          <cell r="C295" t="str">
            <v>VAR_fin</v>
          </cell>
          <cell r="D295" t="str">
            <v>ELC3</v>
          </cell>
          <cell r="E295">
            <v>9.9850521328291375</v>
          </cell>
          <cell r="F295">
            <v>12.276834479007315</v>
          </cell>
          <cell r="G295">
            <v>15.612270822025316</v>
          </cell>
          <cell r="H295">
            <v>21.200562437970209</v>
          </cell>
        </row>
        <row r="296">
          <cell r="B296" t="str">
            <v>G-INTC-TRA</v>
          </cell>
          <cell r="C296" t="str">
            <v>VAR_fin</v>
          </cell>
          <cell r="D296" t="str">
            <v>ELC5</v>
          </cell>
          <cell r="E296">
            <v>0.83208767773576109</v>
          </cell>
          <cell r="F296">
            <v>1.172421938888196E-3</v>
          </cell>
          <cell r="G296">
            <v>1.2901422251539497E-3</v>
          </cell>
          <cell r="H296">
            <v>8.9579841287198132</v>
          </cell>
        </row>
        <row r="297">
          <cell r="B297" t="str">
            <v>G-INTC-TRA</v>
          </cell>
          <cell r="C297" t="str">
            <v>VAR_ncap</v>
          </cell>
          <cell r="D297" t="str">
            <v>-</v>
          </cell>
          <cell r="E297">
            <v>1.4498461323340599E-7</v>
          </cell>
          <cell r="F297">
            <v>1.91733123343752E-7</v>
          </cell>
          <cell r="G297">
            <v>7.92634227576744E-7</v>
          </cell>
          <cell r="H297">
            <v>0.27579743256108402</v>
          </cell>
        </row>
        <row r="298">
          <cell r="B298" t="str">
            <v>G-INTC-TRA</v>
          </cell>
          <cell r="C298" t="str">
            <v>VAR_cap</v>
          </cell>
          <cell r="D298" t="str">
            <v>-</v>
          </cell>
          <cell r="E298">
            <v>0.86351880627381705</v>
          </cell>
          <cell r="F298">
            <v>0.86351885341370316</v>
          </cell>
          <cell r="G298">
            <v>0.86351914299155363</v>
          </cell>
          <cell r="H298">
            <v>1.015260743364941</v>
          </cell>
        </row>
        <row r="299">
          <cell r="B299" t="str">
            <v>SCOM-SWHSTG-CHPBIO</v>
          </cell>
          <cell r="C299" t="str">
            <v>VAR_fout</v>
          </cell>
          <cell r="D299" t="str">
            <v>AUX_SCOM-CHPBIO_OUT</v>
          </cell>
          <cell r="E299">
            <v>7.2289605221539968E-6</v>
          </cell>
          <cell r="F299">
            <v>3.9861009271434962E-5</v>
          </cell>
          <cell r="G299">
            <v>7.7754472285045262</v>
          </cell>
          <cell r="H299">
            <v>8.8600997989930423</v>
          </cell>
        </row>
        <row r="300">
          <cell r="B300" t="str">
            <v>SCOM-SWHSTG-CHPBIO</v>
          </cell>
          <cell r="C300" t="str">
            <v>VAR_fout</v>
          </cell>
          <cell r="D300" t="str">
            <v>SCOM_LTH_CHPBIO</v>
          </cell>
          <cell r="E300">
            <v>7.2289605221540104E-6</v>
          </cell>
          <cell r="F300">
            <v>3.989359042843848E-5</v>
          </cell>
          <cell r="G300">
            <v>7.7853775570211425</v>
          </cell>
          <cell r="H300">
            <v>8.8600997989930281</v>
          </cell>
        </row>
        <row r="301">
          <cell r="B301" t="str">
            <v>SCOM-SWHSTG-CHPBIO</v>
          </cell>
          <cell r="C301" t="str">
            <v>VAR_fin</v>
          </cell>
          <cell r="D301" t="str">
            <v>SCOM_LTH_CHPBIO</v>
          </cell>
          <cell r="E301">
            <v>5.9516710150006604E-6</v>
          </cell>
          <cell r="F301">
            <v>5.0018834193744647E-5</v>
          </cell>
          <cell r="G301">
            <v>9.2683003917227573</v>
          </cell>
          <cell r="H301">
            <v>10.184019542658801</v>
          </cell>
        </row>
        <row r="302">
          <cell r="B302" t="str">
            <v>SCOM-SWHSTG-CHPBIO</v>
          </cell>
          <cell r="C302" t="str">
            <v>VAR_fin</v>
          </cell>
          <cell r="D302" t="str">
            <v>AUX_SCOM-CHPBIO_IN</v>
          </cell>
          <cell r="E302">
            <v>5.9516710150006604E-6</v>
          </cell>
          <cell r="F302">
            <v>5.0018834193744647E-5</v>
          </cell>
          <cell r="G302">
            <v>9.2683003917227573</v>
          </cell>
          <cell r="H302">
            <v>10.184019542658801</v>
          </cell>
        </row>
        <row r="303">
          <cell r="B303" t="str">
            <v>SCOM-SWHSTG-CHPBIO</v>
          </cell>
          <cell r="C303" t="str">
            <v>VAR_ncap</v>
          </cell>
          <cell r="D303" t="str">
            <v>-</v>
          </cell>
          <cell r="E303">
            <v>1.0086927136657301E-3</v>
          </cell>
          <cell r="F303">
            <v>1.2317550540642499E-5</v>
          </cell>
          <cell r="G303">
            <v>0.48809804943066698</v>
          </cell>
          <cell r="H303">
            <v>6.6333771112683002E-2</v>
          </cell>
        </row>
        <row r="304">
          <cell r="B304" t="str">
            <v>SCOM-SWHSTG-CHPBIO</v>
          </cell>
          <cell r="C304" t="str">
            <v>VAR_cap</v>
          </cell>
          <cell r="D304" t="str">
            <v>-</v>
          </cell>
          <cell r="E304">
            <v>1.0086927136657301E-3</v>
          </cell>
          <cell r="F304">
            <v>1.0198824055910882E-3</v>
          </cell>
          <cell r="G304">
            <v>0.48911520693684502</v>
          </cell>
          <cell r="H304">
            <v>0.55544508670101345</v>
          </cell>
        </row>
        <row r="305">
          <cell r="B305" t="str">
            <v>SCOM-SWHSTG-CHPHFC</v>
          </cell>
          <cell r="C305" t="str">
            <v>VAR_fout</v>
          </cell>
          <cell r="D305" t="str">
            <v>AUX_SCOM-CHPHFC_OUT</v>
          </cell>
          <cell r="E305">
            <v>7.7059423628025815E-5</v>
          </cell>
          <cell r="F305">
            <v>5.8602883353484434E-5</v>
          </cell>
          <cell r="G305">
            <v>5.9858659425334353E-5</v>
          </cell>
          <cell r="H305">
            <v>3.1037823405765854E-5</v>
          </cell>
        </row>
        <row r="306">
          <cell r="B306" t="str">
            <v>SCOM-SWHSTG-CHPHFC</v>
          </cell>
          <cell r="C306" t="str">
            <v>VAR_fout</v>
          </cell>
          <cell r="D306" t="str">
            <v>SCOM_LTH_CHPHFC</v>
          </cell>
          <cell r="E306">
            <v>7.7059423628025937E-5</v>
          </cell>
          <cell r="F306">
            <v>5.8650783539111857E-5</v>
          </cell>
          <cell r="G306">
            <v>5.9935107266235209E-5</v>
          </cell>
          <cell r="H306">
            <v>3.1037823405765813E-5</v>
          </cell>
        </row>
        <row r="307">
          <cell r="B307" t="str">
            <v>SCOM-SWHSTG-CHPHFC</v>
          </cell>
          <cell r="C307" t="str">
            <v>VAR_fin</v>
          </cell>
          <cell r="D307" t="str">
            <v>SCOM_LTH_CHPHFC</v>
          </cell>
          <cell r="E307">
            <v>7.7059423628025937E-5</v>
          </cell>
          <cell r="F307">
            <v>5.8650783539111857E-5</v>
          </cell>
          <cell r="G307">
            <v>5.9935107266235209E-5</v>
          </cell>
          <cell r="H307">
            <v>3.1037823405765813E-5</v>
          </cell>
        </row>
        <row r="308">
          <cell r="B308" t="str">
            <v>SCOM-SWHSTG-CHPHFC</v>
          </cell>
          <cell r="C308" t="str">
            <v>VAR_fin</v>
          </cell>
          <cell r="D308" t="str">
            <v>AUX_SCOM-CHPHFC_IN</v>
          </cell>
          <cell r="E308">
            <v>7.7059423628025937E-5</v>
          </cell>
          <cell r="F308">
            <v>5.8650783539111857E-5</v>
          </cell>
          <cell r="G308">
            <v>5.9935107266235209E-5</v>
          </cell>
          <cell r="H308">
            <v>3.1037823405765813E-5</v>
          </cell>
        </row>
        <row r="309">
          <cell r="B309" t="str">
            <v>SCOM-SWHSTG-CHPHFC</v>
          </cell>
          <cell r="C309" t="str">
            <v>VAR_ncap</v>
          </cell>
          <cell r="D309" t="str">
            <v>-</v>
          </cell>
          <cell r="E309">
            <v>3.0678912479702701E-4</v>
          </cell>
          <cell r="F309">
            <v>6.6288677636063598E-6</v>
          </cell>
          <cell r="G309">
            <v>6.06457768231968E-6</v>
          </cell>
          <cell r="H309">
            <v>4.4524440014256702E-6</v>
          </cell>
        </row>
        <row r="310">
          <cell r="B310" t="str">
            <v>SCOM-SWHSTG-CHPHFC</v>
          </cell>
          <cell r="C310" t="str">
            <v>VAR_cap</v>
          </cell>
          <cell r="D310" t="str">
            <v>-</v>
          </cell>
          <cell r="E310">
            <v>3.0678912479702701E-4</v>
          </cell>
          <cell r="F310">
            <v>3.1229045942804471E-4</v>
          </cell>
          <cell r="G310">
            <v>3.1507412069900167E-4</v>
          </cell>
          <cell r="H310">
            <v>3.1143862150375675E-4</v>
          </cell>
        </row>
        <row r="311">
          <cell r="B311" t="str">
            <v>D-IHFO</v>
          </cell>
          <cell r="C311" t="str">
            <v>VAR_fout</v>
          </cell>
          <cell r="D311" t="str">
            <v>CO2</v>
          </cell>
          <cell r="E311">
            <v>213.78071862107299</v>
          </cell>
          <cell r="F311">
            <v>212.85953981613699</v>
          </cell>
          <cell r="G311">
            <v>9.1431588964333593E-2</v>
          </cell>
          <cell r="H311">
            <v>1.6727374797476099E-2</v>
          </cell>
        </row>
        <row r="312">
          <cell r="B312" t="str">
            <v>D-IHFO</v>
          </cell>
          <cell r="C312" t="str">
            <v>VAR_fout</v>
          </cell>
          <cell r="D312" t="str">
            <v>IHFO</v>
          </cell>
          <cell r="E312">
            <v>2.7300043049484755</v>
          </cell>
          <cell r="F312">
            <v>2.7182407459178735</v>
          </cell>
          <cell r="G312">
            <v>1.1675918814892839E-3</v>
          </cell>
          <cell r="H312">
            <v>2.1361049538120043E-4</v>
          </cell>
        </row>
        <row r="313">
          <cell r="B313" t="str">
            <v>D-IHFO</v>
          </cell>
          <cell r="C313" t="str">
            <v>VAR_fin</v>
          </cell>
          <cell r="D313" t="str">
            <v>HFO</v>
          </cell>
          <cell r="E313">
            <v>2.7763729691048495</v>
          </cell>
          <cell r="F313">
            <v>2.7644096080017775</v>
          </cell>
          <cell r="G313">
            <v>1.1874232333030327E-3</v>
          </cell>
          <cell r="H313">
            <v>2.1723863373345604E-4</v>
          </cell>
        </row>
        <row r="314">
          <cell r="B314" t="str">
            <v>RHNM-CHPNGA</v>
          </cell>
          <cell r="C314" t="str">
            <v>VAR_fout</v>
          </cell>
          <cell r="D314" t="str">
            <v>CO2_R</v>
          </cell>
          <cell r="E314"/>
          <cell r="F314">
            <v>0.237960765218451</v>
          </cell>
          <cell r="G314">
            <v>0.311509712054099</v>
          </cell>
          <cell r="H314"/>
        </row>
        <row r="315">
          <cell r="B315" t="str">
            <v>RHNM-CHPNGA</v>
          </cell>
          <cell r="C315" t="str">
            <v>VAR_fout</v>
          </cell>
          <cell r="D315" t="str">
            <v>RHNM_NKEV_GAS_ELC_CHP</v>
          </cell>
          <cell r="E315"/>
          <cell r="F315">
            <v>1.2239081781460252E-3</v>
          </cell>
          <cell r="G315">
            <v>1.4166957585220418E-3</v>
          </cell>
          <cell r="H315"/>
        </row>
        <row r="316">
          <cell r="B316" t="str">
            <v>RHNM-CHPNGA</v>
          </cell>
          <cell r="C316" t="str">
            <v>VAR_fout</v>
          </cell>
          <cell r="D316" t="str">
            <v>RHNM_LTH_CHPNGA</v>
          </cell>
          <cell r="E316"/>
          <cell r="F316">
            <v>2.6329500531242556E-3</v>
          </cell>
          <cell r="G316">
            <v>3.0027436536949979E-3</v>
          </cell>
          <cell r="H316"/>
        </row>
        <row r="317">
          <cell r="B317" t="str">
            <v>RHNM-CHPNGA</v>
          </cell>
          <cell r="C317" t="str">
            <v>VAR_fin</v>
          </cell>
          <cell r="D317" t="str">
            <v>RNGA</v>
          </cell>
          <cell r="E317"/>
          <cell r="F317">
            <v>4.2191625038732498E-3</v>
          </cell>
          <cell r="G317">
            <v>5.5232218449308224E-3</v>
          </cell>
          <cell r="H317"/>
        </row>
        <row r="318">
          <cell r="B318" t="str">
            <v>RHNM-CHPNGA</v>
          </cell>
          <cell r="C318" t="str">
            <v>VAR_ncap</v>
          </cell>
          <cell r="D318" t="str">
            <v>-</v>
          </cell>
          <cell r="E318"/>
          <cell r="F318">
            <v>1.04636750250073E-4</v>
          </cell>
          <cell r="G318">
            <v>3.6520530752691399E-7</v>
          </cell>
          <cell r="H318">
            <v>1.5046534010916401E-8</v>
          </cell>
        </row>
        <row r="319">
          <cell r="B319" t="str">
            <v>RHNM-CHPNGA</v>
          </cell>
          <cell r="C319" t="str">
            <v>VAR_cap</v>
          </cell>
          <cell r="D319" t="str">
            <v>-</v>
          </cell>
          <cell r="E319"/>
          <cell r="F319">
            <v>1.04636750250073E-4</v>
          </cell>
          <cell r="G319">
            <v>1.0498728478682516E-4</v>
          </cell>
          <cell r="H319">
            <v>3.6202026287049594E-5</v>
          </cell>
        </row>
        <row r="320">
          <cell r="B320" t="str">
            <v>G-INTC-EXP00-DE</v>
          </cell>
          <cell r="C320" t="str">
            <v>VAR_fout</v>
          </cell>
          <cell r="D320" t="str">
            <v>ELC_E-DE</v>
          </cell>
          <cell r="E320">
            <v>26.492979688082254</v>
          </cell>
          <cell r="F320">
            <v>1.4857839317230039E-4</v>
          </cell>
          <cell r="G320">
            <v>1.7564354264258425E-4</v>
          </cell>
          <cell r="H320">
            <v>1.1159473634113997E-4</v>
          </cell>
        </row>
        <row r="321">
          <cell r="B321" t="str">
            <v>G-INTC-EXP00-DE</v>
          </cell>
          <cell r="C321" t="str">
            <v>VAR_fin</v>
          </cell>
          <cell r="D321" t="str">
            <v>ELC</v>
          </cell>
          <cell r="E321">
            <v>26.492979688082254</v>
          </cell>
          <cell r="F321">
            <v>1.4857839317230039E-4</v>
          </cell>
          <cell r="G321">
            <v>1.7564354264258425E-4</v>
          </cell>
          <cell r="H321">
            <v>1.1159473634113997E-4</v>
          </cell>
        </row>
        <row r="322">
          <cell r="B322" t="str">
            <v>G-INTC-EXP00-DE</v>
          </cell>
          <cell r="C322" t="str">
            <v>VAR_ncap</v>
          </cell>
          <cell r="D322" t="str">
            <v>-</v>
          </cell>
          <cell r="E322">
            <v>2.8331683426569198E-7</v>
          </cell>
          <cell r="F322">
            <v>2.7939123619396001E-7</v>
          </cell>
          <cell r="G322">
            <v>5.5316844171760603E-7</v>
          </cell>
          <cell r="H322">
            <v>6.3656117536500906E-5</v>
          </cell>
        </row>
        <row r="323">
          <cell r="B323" t="str">
            <v>G-INTC-EXP00-DE</v>
          </cell>
          <cell r="C323" t="str">
            <v>VAR_cap</v>
          </cell>
          <cell r="D323" t="str">
            <v>-</v>
          </cell>
          <cell r="E323">
            <v>4.0260663779970862</v>
          </cell>
          <cell r="F323">
            <v>2.7806273857944319E-4</v>
          </cell>
          <cell r="G323">
            <v>2.7734581229932331E-4</v>
          </cell>
          <cell r="H323">
            <v>2.7722620998815728E-4</v>
          </cell>
        </row>
        <row r="324">
          <cell r="B324" t="str">
            <v>CEN-EBAT</v>
          </cell>
          <cell r="C324" t="str">
            <v>VAR_fout</v>
          </cell>
          <cell r="D324" t="str">
            <v>ELC13</v>
          </cell>
          <cell r="E324">
            <v>1.3317454006918146E-3</v>
          </cell>
          <cell r="F324">
            <v>9.9708434125425258E-4</v>
          </cell>
          <cell r="G324">
            <v>1.7309873094720901E-2</v>
          </cell>
          <cell r="H324">
            <v>4.3766006679706572E-2</v>
          </cell>
        </row>
        <row r="325">
          <cell r="B325" t="str">
            <v>CEN-EBAT</v>
          </cell>
          <cell r="C325" t="str">
            <v>VAR_fout</v>
          </cell>
          <cell r="D325" t="str">
            <v>AUX_CEN-EBAT_OUT</v>
          </cell>
          <cell r="E325">
            <v>1.3317454006918112E-3</v>
          </cell>
          <cell r="F325">
            <v>9.970843412542502E-4</v>
          </cell>
          <cell r="G325">
            <v>1.7309873094720866E-2</v>
          </cell>
          <cell r="H325">
            <v>4.3766006679706454E-2</v>
          </cell>
        </row>
        <row r="326">
          <cell r="B326" t="str">
            <v>CEN-EBAT</v>
          </cell>
          <cell r="C326" t="str">
            <v>VAR_fin</v>
          </cell>
          <cell r="D326" t="str">
            <v>AUX_CEN-EBAT_IN</v>
          </cell>
          <cell r="E326">
            <v>1.5438967366048877E-3</v>
          </cell>
          <cell r="F326">
            <v>1.1547766018546127E-3</v>
          </cell>
          <cell r="G326">
            <v>1.996437563908468E-2</v>
          </cell>
          <cell r="H326">
            <v>5.0477852928681892E-2</v>
          </cell>
        </row>
        <row r="327">
          <cell r="B327" t="str">
            <v>CEN-EBAT</v>
          </cell>
          <cell r="C327" t="str">
            <v>VAR_fin</v>
          </cell>
          <cell r="D327" t="str">
            <v>ELC13</v>
          </cell>
          <cell r="E327">
            <v>1.5438967366048877E-3</v>
          </cell>
          <cell r="F327">
            <v>1.1547766018546127E-3</v>
          </cell>
          <cell r="G327">
            <v>1.996437563908468E-2</v>
          </cell>
          <cell r="H327">
            <v>5.0477852928681892E-2</v>
          </cell>
        </row>
        <row r="328">
          <cell r="B328" t="str">
            <v>CEN-EBAT</v>
          </cell>
          <cell r="C328" t="str">
            <v>VAR_ncap</v>
          </cell>
          <cell r="D328" t="str">
            <v>-</v>
          </cell>
          <cell r="E328">
            <v>2.27130938849804E-4</v>
          </cell>
          <cell r="F328">
            <v>2.86598755482789E-7</v>
          </cell>
          <cell r="G328">
            <v>6.0743992761981298E-3</v>
          </cell>
          <cell r="H328">
            <v>2.0257101790822098E-2</v>
          </cell>
        </row>
        <row r="329">
          <cell r="B329" t="str">
            <v>CEN-EBAT</v>
          </cell>
          <cell r="C329" t="str">
            <v>VAR_cap</v>
          </cell>
          <cell r="D329" t="str">
            <v>-</v>
          </cell>
          <cell r="E329">
            <v>2.27130938849804E-4</v>
          </cell>
          <cell r="F329">
            <v>2.2730491745640331E-4</v>
          </cell>
          <cell r="G329">
            <v>6.3016306518305443E-3</v>
          </cell>
          <cell r="H329">
            <v>2.649775207111453E-2</v>
          </cell>
        </row>
        <row r="330">
          <cell r="B330" t="str">
            <v>ESOL-PV</v>
          </cell>
          <cell r="C330" t="str">
            <v>VAR_fout</v>
          </cell>
          <cell r="D330" t="str">
            <v>ELC35</v>
          </cell>
          <cell r="E330"/>
          <cell r="F330"/>
          <cell r="G330">
            <v>0.14080626641931424</v>
          </cell>
          <cell r="H330">
            <v>0.23805325023969984</v>
          </cell>
        </row>
        <row r="331">
          <cell r="B331" t="str">
            <v>ESOL-PV</v>
          </cell>
          <cell r="C331" t="str">
            <v>VAR_fin</v>
          </cell>
          <cell r="D331" t="str">
            <v>SOL</v>
          </cell>
          <cell r="E331"/>
          <cell r="F331"/>
          <cell r="G331">
            <v>0.14080626641931424</v>
          </cell>
          <cell r="H331">
            <v>0.23805325023969984</v>
          </cell>
        </row>
        <row r="332">
          <cell r="B332" t="str">
            <v>ESOL-PV</v>
          </cell>
          <cell r="C332" t="str">
            <v>VAR_fin</v>
          </cell>
          <cell r="D332" t="str">
            <v>SOLPVC</v>
          </cell>
          <cell r="E332"/>
          <cell r="F332"/>
          <cell r="G332">
            <v>0.14080626641931501</v>
          </cell>
          <cell r="H332">
            <v>0.2380532502397</v>
          </cell>
        </row>
        <row r="333">
          <cell r="B333" t="str">
            <v>ESOL-PV</v>
          </cell>
          <cell r="C333" t="str">
            <v>VAR_ncap</v>
          </cell>
          <cell r="D333" t="str">
            <v>-</v>
          </cell>
          <cell r="E333"/>
          <cell r="F333"/>
          <cell r="G333">
            <v>4.49256426329794E-2</v>
          </cell>
          <cell r="H333">
            <v>2.3698365995974802E-2</v>
          </cell>
        </row>
        <row r="334">
          <cell r="B334" t="str">
            <v>ESOL-PV</v>
          </cell>
          <cell r="C334" t="str">
            <v>VAR_cap</v>
          </cell>
          <cell r="D334" t="str">
            <v>-</v>
          </cell>
          <cell r="E334"/>
          <cell r="F334"/>
          <cell r="G334">
            <v>4.49256426329794E-2</v>
          </cell>
          <cell r="H334">
            <v>6.8624008628954195E-2</v>
          </cell>
        </row>
        <row r="335">
          <cell r="B335" t="str">
            <v>RHEM-SHSTG-CHPNGA</v>
          </cell>
          <cell r="C335" t="str">
            <v>VAR_fout</v>
          </cell>
          <cell r="D335" t="str">
            <v>RHEM_LTH_CHPNGA</v>
          </cell>
          <cell r="E335">
            <v>1.8253103130516E-2</v>
          </cell>
          <cell r="F335">
            <v>5.6617298105389478E-5</v>
          </cell>
          <cell r="G335">
            <v>9.7458407663453782E-4</v>
          </cell>
          <cell r="H335">
            <v>5.6697709185050308E-5</v>
          </cell>
        </row>
        <row r="336">
          <cell r="B336" t="str">
            <v>RHEM-SHSTG-CHPNGA</v>
          </cell>
          <cell r="C336" t="str">
            <v>VAR_fout</v>
          </cell>
          <cell r="D336" t="str">
            <v>AUX_REM-CHPNGA_OUT</v>
          </cell>
          <cell r="E336">
            <v>1.8253103130516042E-2</v>
          </cell>
          <cell r="F336">
            <v>5.6579578386465249E-5</v>
          </cell>
          <cell r="G336">
            <v>9.7356994127904036E-4</v>
          </cell>
          <cell r="H336">
            <v>5.6697709185050308E-5</v>
          </cell>
        </row>
        <row r="337">
          <cell r="B337" t="str">
            <v>RHEM-SHSTG-CHPNGA</v>
          </cell>
          <cell r="C337" t="str">
            <v>VAR_fin</v>
          </cell>
          <cell r="D337" t="str">
            <v>AUX_REM-CHPNGA_IN</v>
          </cell>
          <cell r="E337">
            <v>2.4340526394822141E-2</v>
          </cell>
          <cell r="F337">
            <v>7.3447984287102605E-5</v>
          </cell>
          <cell r="G337">
            <v>1.2560413550235987E-3</v>
          </cell>
          <cell r="H337">
            <v>4.3541185413166905E-5</v>
          </cell>
        </row>
        <row r="338">
          <cell r="B338" t="str">
            <v>RHEM-SHSTG-CHPNGA</v>
          </cell>
          <cell r="C338" t="str">
            <v>VAR_fin</v>
          </cell>
          <cell r="D338" t="str">
            <v>RHEM_LTH_CHPNGA</v>
          </cell>
          <cell r="E338">
            <v>2.4340526394822141E-2</v>
          </cell>
          <cell r="F338">
            <v>7.3447984287102605E-5</v>
          </cell>
          <cell r="G338">
            <v>1.2560413550235987E-3</v>
          </cell>
          <cell r="H338">
            <v>4.3541185413166905E-5</v>
          </cell>
        </row>
        <row r="339">
          <cell r="B339" t="str">
            <v>RHEM-SHSTG-CHPNGA</v>
          </cell>
          <cell r="C339" t="str">
            <v>VAR_ncap</v>
          </cell>
          <cell r="D339" t="str">
            <v>-</v>
          </cell>
          <cell r="E339">
            <v>1.3086504583770099E-3</v>
          </cell>
          <cell r="F339">
            <v>1.0536636736510999E-5</v>
          </cell>
          <cell r="G339">
            <v>8.3698053382431607E-6</v>
          </cell>
          <cell r="H339">
            <v>5.8252285214161297E-6</v>
          </cell>
        </row>
        <row r="340">
          <cell r="B340" t="str">
            <v>RHEM-SHSTG-CHPNGA</v>
          </cell>
          <cell r="C340" t="str">
            <v>VAR_cap</v>
          </cell>
          <cell r="D340" t="str">
            <v>-</v>
          </cell>
          <cell r="E340">
            <v>1.3086504583770099E-3</v>
          </cell>
          <cell r="F340">
            <v>1.3160467460018596E-3</v>
          </cell>
          <cell r="G340">
            <v>1.3151469269362304E-3</v>
          </cell>
          <cell r="H340">
            <v>9.8419446916660084E-4</v>
          </cell>
        </row>
        <row r="341">
          <cell r="B341" t="str">
            <v>RHNS-ESOLPV</v>
          </cell>
          <cell r="C341" t="str">
            <v>VAR_fout</v>
          </cell>
          <cell r="D341" t="str">
            <v>RHNS_SOL_ELC</v>
          </cell>
          <cell r="E341"/>
          <cell r="F341">
            <v>1.1743281137920633E-5</v>
          </cell>
          <cell r="G341">
            <v>4.8672404815610981E-4</v>
          </cell>
          <cell r="H341">
            <v>5.3822100543844968E-4</v>
          </cell>
        </row>
        <row r="342">
          <cell r="B342" t="str">
            <v>RHNS-ESOLPV</v>
          </cell>
          <cell r="C342" t="str">
            <v>VAR_fin</v>
          </cell>
          <cell r="D342" t="str">
            <v>SOL</v>
          </cell>
          <cell r="E342"/>
          <cell r="F342">
            <v>1.1743281137920633E-5</v>
          </cell>
          <cell r="G342">
            <v>4.8672404815610981E-4</v>
          </cell>
          <cell r="H342">
            <v>5.3822100543844968E-4</v>
          </cell>
        </row>
        <row r="343">
          <cell r="B343" t="str">
            <v>RHNS-ESOLPV</v>
          </cell>
          <cell r="C343" t="str">
            <v>VAR_fin</v>
          </cell>
          <cell r="D343" t="str">
            <v>SOLPVC</v>
          </cell>
          <cell r="E343"/>
          <cell r="F343">
            <v>1.1743281137920601E-5</v>
          </cell>
          <cell r="G343">
            <v>4.8672404815611002E-4</v>
          </cell>
          <cell r="H343">
            <v>5.3822100543845001E-4</v>
          </cell>
        </row>
        <row r="344">
          <cell r="B344" t="str">
            <v>RHNS-ESOLPV</v>
          </cell>
          <cell r="C344" t="str">
            <v>VAR_ncap</v>
          </cell>
          <cell r="D344" t="str">
            <v>-</v>
          </cell>
          <cell r="E344"/>
          <cell r="F344">
            <v>4.0378501267902797E-6</v>
          </cell>
          <cell r="G344">
            <v>1.5127269804312101E-4</v>
          </cell>
          <cell r="H344">
            <v>1.5859425365217301E-7</v>
          </cell>
        </row>
        <row r="345">
          <cell r="B345" t="str">
            <v>RHNS-ESOLPV</v>
          </cell>
          <cell r="C345" t="str">
            <v>VAR_cap</v>
          </cell>
          <cell r="D345" t="str">
            <v>-</v>
          </cell>
          <cell r="E345"/>
          <cell r="F345">
            <v>4.0378501267902797E-6</v>
          </cell>
          <cell r="G345">
            <v>1.55310548169912E-4</v>
          </cell>
          <cell r="H345">
            <v>1.55469142423564E-4</v>
          </cell>
        </row>
        <row r="346">
          <cell r="B346" t="str">
            <v>RHSA-WHSTG-CHP</v>
          </cell>
          <cell r="C346" t="str">
            <v>VAR_fout</v>
          </cell>
          <cell r="D346" t="str">
            <v>AUX_RHSA-CHP_OUT</v>
          </cell>
          <cell r="E346">
            <v>2.8952910749002997E-2</v>
          </cell>
          <cell r="F346">
            <v>1.1403510190782566E-4</v>
          </cell>
          <cell r="G346">
            <v>1.6872777997250347E-3</v>
          </cell>
          <cell r="H346">
            <v>2.6371066649285858E-4</v>
          </cell>
        </row>
        <row r="347">
          <cell r="B347" t="str">
            <v>RHSA-WHSTG-CHP</v>
          </cell>
          <cell r="C347" t="str">
            <v>VAR_fout</v>
          </cell>
          <cell r="D347" t="str">
            <v>RHSA_LTH</v>
          </cell>
          <cell r="E347">
            <v>2.8952910749002934E-2</v>
          </cell>
          <cell r="F347">
            <v>1.1411112530909736E-4</v>
          </cell>
          <cell r="G347">
            <v>1.6890353807664127E-3</v>
          </cell>
          <cell r="H347">
            <v>2.6371066649285858E-4</v>
          </cell>
        </row>
        <row r="348">
          <cell r="B348" t="str">
            <v>RHSA-WHSTG-CHP</v>
          </cell>
          <cell r="C348" t="str">
            <v>VAR_fin</v>
          </cell>
          <cell r="D348" t="str">
            <v>RHSA_LTH</v>
          </cell>
          <cell r="E348">
            <v>3.8599917036549865E-2</v>
          </cell>
          <cell r="F348">
            <v>1.5223142675082664E-4</v>
          </cell>
          <cell r="G348">
            <v>2.1779140055160945E-3</v>
          </cell>
          <cell r="H348">
            <v>3.2679507119685484E-4</v>
          </cell>
        </row>
        <row r="349">
          <cell r="B349" t="str">
            <v>RHSA-WHSTG-CHP</v>
          </cell>
          <cell r="C349" t="str">
            <v>VAR_fin</v>
          </cell>
          <cell r="D349" t="str">
            <v>AUX_RHSA-CHP_IN</v>
          </cell>
          <cell r="E349">
            <v>3.8599917036549865E-2</v>
          </cell>
          <cell r="F349">
            <v>1.5223142675082664E-4</v>
          </cell>
          <cell r="G349">
            <v>2.1779140055160945E-3</v>
          </cell>
          <cell r="H349">
            <v>3.2679507119685484E-4</v>
          </cell>
        </row>
        <row r="350">
          <cell r="B350" t="str">
            <v>RHSA-WHSTG-CHP</v>
          </cell>
          <cell r="C350" t="str">
            <v>VAR_ncap</v>
          </cell>
          <cell r="D350" t="str">
            <v>-</v>
          </cell>
          <cell r="E350">
            <v>1.15685807031554E-3</v>
          </cell>
          <cell r="F350">
            <v>5.4546898604904504E-6</v>
          </cell>
          <cell r="G350">
            <v>6.16080428553803E-6</v>
          </cell>
          <cell r="H350">
            <v>5.6463886149030602E-6</v>
          </cell>
        </row>
        <row r="351">
          <cell r="B351" t="str">
            <v>RHSA-WHSTG-CHP</v>
          </cell>
          <cell r="C351" t="str">
            <v>VAR_cap</v>
          </cell>
          <cell r="D351" t="str">
            <v>-</v>
          </cell>
          <cell r="E351">
            <v>1.8414727916817564E-3</v>
          </cell>
          <cell r="F351">
            <v>1.8310638713682663E-3</v>
          </cell>
          <cell r="G351">
            <v>1.8151227287820327E-3</v>
          </cell>
          <cell r="H351">
            <v>1.3979918471934318E-3</v>
          </cell>
        </row>
        <row r="352">
          <cell r="B352" t="str">
            <v>G-INTC-SER</v>
          </cell>
          <cell r="C352" t="str">
            <v>VAR_fout</v>
          </cell>
          <cell r="D352" t="str">
            <v>ELC35</v>
          </cell>
          <cell r="E352">
            <v>1.5184449083220069E-3</v>
          </cell>
          <cell r="F352">
            <v>3.6499206680486656E-4</v>
          </cell>
          <cell r="G352">
            <v>3.9208665471226226E-4</v>
          </cell>
          <cell r="H352">
            <v>1.9552930708992207E-4</v>
          </cell>
        </row>
        <row r="353">
          <cell r="B353" t="str">
            <v>G-INTC-SER</v>
          </cell>
          <cell r="C353" t="str">
            <v>VAR_fout</v>
          </cell>
          <cell r="D353" t="str">
            <v>SCOM_ELC</v>
          </cell>
          <cell r="E353">
            <v>57.562602217114488</v>
          </cell>
          <cell r="F353">
            <v>56.853165491362851</v>
          </cell>
          <cell r="G353">
            <v>51.337603003883288</v>
          </cell>
          <cell r="H353">
            <v>51.002594259346374</v>
          </cell>
        </row>
        <row r="354">
          <cell r="B354" t="str">
            <v>G-INTC-SER</v>
          </cell>
          <cell r="C354" t="str">
            <v>VAR_fin</v>
          </cell>
          <cell r="D354" t="str">
            <v>ELC5</v>
          </cell>
          <cell r="E354">
            <v>57.564119401592926</v>
          </cell>
          <cell r="F354">
            <v>56.853530483429644</v>
          </cell>
          <cell r="G354">
            <v>51.337995090538051</v>
          </cell>
          <cell r="H354">
            <v>51.002787579801058</v>
          </cell>
        </row>
        <row r="355">
          <cell r="B355" t="str">
            <v>G-INTC-SER</v>
          </cell>
          <cell r="C355" t="str">
            <v>VAR_ncap</v>
          </cell>
          <cell r="D355" t="str">
            <v>-</v>
          </cell>
          <cell r="E355">
            <v>1.8197450761346901E-8</v>
          </cell>
          <cell r="F355">
            <v>1.9309975296435499E-8</v>
          </cell>
          <cell r="G355">
            <v>2.10500552928682E-8</v>
          </cell>
          <cell r="H355">
            <v>2.4681144045919199E-8</v>
          </cell>
        </row>
        <row r="356">
          <cell r="B356" t="str">
            <v>G-INTC-SER</v>
          </cell>
          <cell r="C356" t="str">
            <v>VAR_cap</v>
          </cell>
          <cell r="D356" t="str">
            <v>-</v>
          </cell>
          <cell r="E356">
            <v>4.3683888589490198</v>
          </cell>
          <cell r="F356">
            <v>4.368388864865687</v>
          </cell>
          <cell r="G356">
            <v>4.3683888964564463</v>
          </cell>
          <cell r="H356">
            <v>4.3683889310858035</v>
          </cell>
        </row>
        <row r="357">
          <cell r="B357" t="str">
            <v>CHPWOD</v>
          </cell>
          <cell r="C357" t="str">
            <v>VAR_fout</v>
          </cell>
          <cell r="D357" t="str">
            <v>ELC35</v>
          </cell>
          <cell r="E357">
            <v>0.35678446084797527</v>
          </cell>
          <cell r="F357">
            <v>7.0788979913009337E-2</v>
          </cell>
          <cell r="G357">
            <v>1.502460900527931E-2</v>
          </cell>
          <cell r="H357">
            <v>1.0672510993133972</v>
          </cell>
        </row>
        <row r="358">
          <cell r="B358" t="str">
            <v>CHPWOD</v>
          </cell>
          <cell r="C358" t="str">
            <v>VAR_fout</v>
          </cell>
          <cell r="D358" t="str">
            <v>LTH</v>
          </cell>
          <cell r="E358">
            <v>0.93305727586550913</v>
          </cell>
          <cell r="F358">
            <v>0.18512625970858784</v>
          </cell>
          <cell r="G358">
            <v>3.9292128127137456E-2</v>
          </cell>
          <cell r="H358">
            <v>2.7910587838469172</v>
          </cell>
        </row>
        <row r="359">
          <cell r="B359" t="str">
            <v>CHPWOD</v>
          </cell>
          <cell r="C359" t="str">
            <v>VAR_fin</v>
          </cell>
          <cell r="D359" t="str">
            <v>EWOD</v>
          </cell>
          <cell r="E359">
            <v>1.4627766602335668</v>
          </cell>
          <cell r="F359">
            <v>0.28300194632154602</v>
          </cell>
          <cell r="G359">
            <v>5.8122718085274631E-2</v>
          </cell>
          <cell r="H359">
            <v>3.8797998513057581</v>
          </cell>
        </row>
        <row r="360">
          <cell r="B360" t="str">
            <v>CHPWOD</v>
          </cell>
          <cell r="C360" t="str">
            <v>VAR_ncap</v>
          </cell>
          <cell r="D360" t="str">
            <v>-</v>
          </cell>
          <cell r="E360"/>
          <cell r="F360">
            <v>3.53339480790937E-8</v>
          </cell>
          <cell r="G360">
            <v>3.0943961463134699E-7</v>
          </cell>
          <cell r="H360">
            <v>3.70711202822653E-2</v>
          </cell>
        </row>
        <row r="361">
          <cell r="B361" t="str">
            <v>CHPWOD</v>
          </cell>
          <cell r="C361" t="str">
            <v>VAR_cap</v>
          </cell>
          <cell r="D361" t="str">
            <v>-</v>
          </cell>
          <cell r="E361">
            <v>1.3313684453287199E-2</v>
          </cell>
          <cell r="F361">
            <v>2.7511037404386804E-3</v>
          </cell>
          <cell r="G361">
            <v>2.7438266746095188E-3</v>
          </cell>
          <cell r="H361">
            <v>3.9814622617166791E-2</v>
          </cell>
        </row>
        <row r="362">
          <cell r="B362" t="str">
            <v>G-INTC1</v>
          </cell>
          <cell r="C362" t="str">
            <v>VAR_fout</v>
          </cell>
          <cell r="D362" t="str">
            <v>ELC13</v>
          </cell>
          <cell r="E362">
            <v>124.97806052228616</v>
          </cell>
          <cell r="F362">
            <v>139.58453337949717</v>
          </cell>
          <cell r="G362">
            <v>117.64501816036594</v>
          </cell>
          <cell r="H362">
            <v>126.59670013614759</v>
          </cell>
        </row>
        <row r="363">
          <cell r="B363" t="str">
            <v>G-INTC1</v>
          </cell>
          <cell r="C363" t="str">
            <v>VAR_fin</v>
          </cell>
          <cell r="D363" t="str">
            <v>ELC</v>
          </cell>
          <cell r="E363">
            <v>126.29420914882554</v>
          </cell>
          <cell r="F363">
            <v>143.20254143921545</v>
          </cell>
          <cell r="G363">
            <v>120.43235827872448</v>
          </cell>
          <cell r="H363">
            <v>129.12894924566857</v>
          </cell>
        </row>
        <row r="364">
          <cell r="B364" t="str">
            <v>G-INTC1</v>
          </cell>
          <cell r="C364" t="str">
            <v>VAR_ncap</v>
          </cell>
          <cell r="D364" t="str">
            <v>-</v>
          </cell>
          <cell r="E364">
            <v>3.4543969238640099E-8</v>
          </cell>
          <cell r="F364">
            <v>3.32938594811558E-8</v>
          </cell>
          <cell r="G364">
            <v>3.87292064072825E-8</v>
          </cell>
          <cell r="H364">
            <v>4.6703925876598803E-8</v>
          </cell>
        </row>
        <row r="365">
          <cell r="B365" t="str">
            <v>G-INTC1</v>
          </cell>
          <cell r="C365" t="str">
            <v>VAR_cap</v>
          </cell>
          <cell r="D365" t="str">
            <v>-</v>
          </cell>
          <cell r="E365">
            <v>15.305609183965201</v>
          </cell>
          <cell r="F365">
            <v>15.305609183965201</v>
          </cell>
          <cell r="G365">
            <v>15.305609183965201</v>
          </cell>
          <cell r="H365">
            <v>15.305609216538381</v>
          </cell>
        </row>
        <row r="366">
          <cell r="B366" t="str">
            <v>EHYD-RUNS00</v>
          </cell>
          <cell r="C366" t="str">
            <v>VAR_fout</v>
          </cell>
          <cell r="D366" t="str">
            <v>ELC35</v>
          </cell>
          <cell r="E366">
            <v>12.240000000000178</v>
          </cell>
          <cell r="F366">
            <v>12.242622031021167</v>
          </cell>
          <cell r="G366">
            <v>12.247230639030366</v>
          </cell>
          <cell r="H366">
            <v>12.255391898598907</v>
          </cell>
        </row>
        <row r="367">
          <cell r="B367" t="str">
            <v>EHYD-RUNS00</v>
          </cell>
          <cell r="C367" t="str">
            <v>VAR_fin</v>
          </cell>
          <cell r="D367" t="str">
            <v>HYDR</v>
          </cell>
          <cell r="E367">
            <v>12.240000000000178</v>
          </cell>
          <cell r="F367">
            <v>12.242622031021167</v>
          </cell>
          <cell r="G367">
            <v>12.247230639030366</v>
          </cell>
          <cell r="H367">
            <v>12.255391898598907</v>
          </cell>
        </row>
        <row r="368">
          <cell r="B368" t="str">
            <v>EHYD-RUNS00</v>
          </cell>
          <cell r="C368" t="str">
            <v>VAR_cap</v>
          </cell>
          <cell r="D368" t="str">
            <v>-</v>
          </cell>
          <cell r="E368">
            <v>0.85785999999999896</v>
          </cell>
          <cell r="F368">
            <v>0.88297936593724102</v>
          </cell>
          <cell r="G368">
            <v>0.89707999999999899</v>
          </cell>
          <cell r="H368">
            <v>0.89707999999999899</v>
          </cell>
        </row>
        <row r="369">
          <cell r="B369" t="str">
            <v>RHNS-SHSTG-CHPWOD</v>
          </cell>
          <cell r="C369" t="str">
            <v>VAR_fout</v>
          </cell>
          <cell r="D369" t="str">
            <v>AUX_RNS-CHPWOD_OUT</v>
          </cell>
          <cell r="E369">
            <v>1.1799303760170252E-4</v>
          </cell>
          <cell r="F369">
            <v>6.1370195649767387E-5</v>
          </cell>
          <cell r="G369">
            <v>2.8742800828776323E-5</v>
          </cell>
          <cell r="H369">
            <v>5.5750972450468986E-5</v>
          </cell>
        </row>
        <row r="370">
          <cell r="B370" t="str">
            <v>RHNS-SHSTG-CHPWOD</v>
          </cell>
          <cell r="C370" t="str">
            <v>VAR_fout</v>
          </cell>
          <cell r="D370" t="str">
            <v>RHNS_LTH_CHPWOD</v>
          </cell>
          <cell r="E370">
            <v>1.1799303760170217E-4</v>
          </cell>
          <cell r="F370">
            <v>6.1411109113533745E-5</v>
          </cell>
          <cell r="G370">
            <v>2.877274124630628E-5</v>
          </cell>
          <cell r="H370">
            <v>5.5750972450468986E-5</v>
          </cell>
        </row>
        <row r="371">
          <cell r="B371" t="str">
            <v>RHNS-SHSTG-CHPWOD</v>
          </cell>
          <cell r="C371" t="str">
            <v>VAR_fin</v>
          </cell>
          <cell r="D371" t="str">
            <v>AUX_RNS-CHPWOD_IN</v>
          </cell>
          <cell r="E371">
            <v>9.3900656203069549E-5</v>
          </cell>
          <cell r="F371">
            <v>3.9545892612999528E-5</v>
          </cell>
          <cell r="G371">
            <v>2.3065352031159757E-5</v>
          </cell>
          <cell r="H371">
            <v>4.2957778292832372E-5</v>
          </cell>
        </row>
        <row r="372">
          <cell r="B372" t="str">
            <v>RHNS-SHSTG-CHPWOD</v>
          </cell>
          <cell r="C372" t="str">
            <v>VAR_fin</v>
          </cell>
          <cell r="D372" t="str">
            <v>RHNS_LTH_CHPWOD</v>
          </cell>
          <cell r="E372">
            <v>9.3900656203069549E-5</v>
          </cell>
          <cell r="F372">
            <v>3.9545892612999528E-5</v>
          </cell>
          <cell r="G372">
            <v>2.3065352031159757E-5</v>
          </cell>
          <cell r="H372">
            <v>4.2957778292832372E-5</v>
          </cell>
        </row>
        <row r="373">
          <cell r="B373" t="str">
            <v>RHNS-SHSTG-CHPWOD</v>
          </cell>
          <cell r="C373" t="str">
            <v>VAR_ncap</v>
          </cell>
          <cell r="D373" t="str">
            <v>-</v>
          </cell>
          <cell r="E373">
            <v>3.4762903967912399E-4</v>
          </cell>
          <cell r="F373">
            <v>7.7810624549077198E-6</v>
          </cell>
          <cell r="G373">
            <v>7.6674317514386302E-6</v>
          </cell>
          <cell r="H373">
            <v>5.0643434344286399E-6</v>
          </cell>
        </row>
        <row r="374">
          <cell r="B374" t="str">
            <v>RHNS-SHSTG-CHPWOD</v>
          </cell>
          <cell r="C374" t="str">
            <v>VAR_cap</v>
          </cell>
          <cell r="D374" t="str">
            <v>-</v>
          </cell>
          <cell r="E374">
            <v>3.4762903967912399E-4</v>
          </cell>
          <cell r="F374">
            <v>3.5433112524572709E-4</v>
          </cell>
          <cell r="G374">
            <v>3.5874892035701926E-4</v>
          </cell>
          <cell r="H374">
            <v>3.5624939737311884E-4</v>
          </cell>
        </row>
        <row r="375">
          <cell r="B375" t="str">
            <v>HPLOIL</v>
          </cell>
          <cell r="C375" t="str">
            <v>VAR_fout</v>
          </cell>
          <cell r="D375" t="str">
            <v>LTH</v>
          </cell>
          <cell r="E375">
            <v>0.18406930057918613</v>
          </cell>
          <cell r="F375">
            <v>0.18582287704850181</v>
          </cell>
          <cell r="G375">
            <v>4.1569472738406187E-4</v>
          </cell>
          <cell r="H375">
            <v>2.707221857956106E-4</v>
          </cell>
        </row>
        <row r="376">
          <cell r="B376" t="str">
            <v>HPLOIL</v>
          </cell>
          <cell r="C376" t="str">
            <v>VAR_fout</v>
          </cell>
          <cell r="D376" t="str">
            <v>CO2_E</v>
          </cell>
          <cell r="E376">
            <v>15.876678439795</v>
          </cell>
          <cell r="F376">
            <v>16.027931091026499</v>
          </cell>
          <cell r="G376">
            <v>3.58552539452704E-2</v>
          </cell>
          <cell r="H376">
            <v>2.3350819918752801E-2</v>
          </cell>
        </row>
        <row r="377">
          <cell r="B377" t="str">
            <v>HPLOIL</v>
          </cell>
          <cell r="C377" t="str">
            <v>VAR_fin</v>
          </cell>
          <cell r="D377" t="str">
            <v>ELFO</v>
          </cell>
          <cell r="E377">
            <v>0.21542304531607956</v>
          </cell>
          <cell r="F377">
            <v>0.21747532009533904</v>
          </cell>
          <cell r="G377">
            <v>4.8650276723569011E-4</v>
          </cell>
          <cell r="H377">
            <v>3.1683609116353893E-4</v>
          </cell>
        </row>
        <row r="378">
          <cell r="B378" t="str">
            <v>HPLOIL</v>
          </cell>
          <cell r="C378" t="str">
            <v>VAR_ncap</v>
          </cell>
          <cell r="D378" t="str">
            <v>-</v>
          </cell>
          <cell r="E378">
            <v>2.5861309018487502E-6</v>
          </cell>
          <cell r="F378">
            <v>1.65945186923258E-6</v>
          </cell>
          <cell r="G378">
            <v>1.3189636344887399E-6</v>
          </cell>
          <cell r="H378">
            <v>2.3240795868066898E-6</v>
          </cell>
        </row>
        <row r="379">
          <cell r="B379" t="str">
            <v>HPLOIL</v>
          </cell>
          <cell r="C379" t="str">
            <v>VAR_cap</v>
          </cell>
          <cell r="D379" t="str">
            <v>-</v>
          </cell>
          <cell r="E379">
            <v>2.3930093201793852E-2</v>
          </cell>
          <cell r="F379">
            <v>2.359890207582848E-2</v>
          </cell>
          <cell r="G379">
            <v>8.715021885704749E-4</v>
          </cell>
          <cell r="H379">
            <v>3.7242337502657596E-4</v>
          </cell>
        </row>
        <row r="380">
          <cell r="B380" t="str">
            <v>V2G</v>
          </cell>
          <cell r="C380" t="str">
            <v>VAR_fout</v>
          </cell>
          <cell r="D380" t="str">
            <v>ELC35</v>
          </cell>
          <cell r="E380"/>
          <cell r="F380"/>
          <cell r="G380"/>
          <cell r="H380">
            <v>4.0559774601468066E-3</v>
          </cell>
        </row>
        <row r="381">
          <cell r="B381" t="str">
            <v>V2G</v>
          </cell>
          <cell r="C381" t="str">
            <v>VAR_fin</v>
          </cell>
          <cell r="D381" t="str">
            <v>T-ELC-Bus_c_BatSTGout_S1</v>
          </cell>
          <cell r="E381"/>
          <cell r="F381"/>
          <cell r="G381"/>
          <cell r="H381">
            <v>1.1051524539554566E-4</v>
          </cell>
        </row>
        <row r="382">
          <cell r="B382" t="str">
            <v>V2G</v>
          </cell>
          <cell r="C382" t="str">
            <v>VAR_fin</v>
          </cell>
          <cell r="D382" t="str">
            <v>T-ELC-Bus_c_BatSTGout_S2</v>
          </cell>
          <cell r="E382"/>
          <cell r="F382"/>
          <cell r="G382"/>
          <cell r="H382">
            <v>1.0523264640754656E-4</v>
          </cell>
        </row>
        <row r="383">
          <cell r="B383" t="str">
            <v>V2G</v>
          </cell>
          <cell r="C383" t="str">
            <v>VAR_fin</v>
          </cell>
          <cell r="D383" t="str">
            <v>T-ELC-Bus_c_BatSTGout_S3</v>
          </cell>
          <cell r="E383"/>
          <cell r="F383"/>
          <cell r="G383"/>
          <cell r="H383">
            <v>7.0027794583910589E-5</v>
          </cell>
        </row>
        <row r="384">
          <cell r="B384" t="str">
            <v>V2G</v>
          </cell>
          <cell r="C384" t="str">
            <v>VAR_fin</v>
          </cell>
          <cell r="D384" t="str">
            <v>T-ELC-Bus_c_BatSTGout_S4</v>
          </cell>
          <cell r="E384"/>
          <cell r="F384"/>
          <cell r="G384"/>
          <cell r="H384">
            <v>9.8551287386395835E-5</v>
          </cell>
        </row>
        <row r="385">
          <cell r="B385" t="str">
            <v>V2G</v>
          </cell>
          <cell r="C385" t="str">
            <v>VAR_fin</v>
          </cell>
          <cell r="D385" t="str">
            <v>T-ELC-car-BatSTGOut_S1</v>
          </cell>
          <cell r="E385"/>
          <cell r="F385"/>
          <cell r="G385"/>
          <cell r="H385">
            <v>3.5653101350887592E-4</v>
          </cell>
        </row>
        <row r="386">
          <cell r="B386" t="str">
            <v>V2G</v>
          </cell>
          <cell r="C386" t="str">
            <v>VAR_fin</v>
          </cell>
          <cell r="D386" t="str">
            <v>T-ELC-car-BatSTGOut_S2</v>
          </cell>
          <cell r="E386"/>
          <cell r="F386"/>
          <cell r="G386"/>
          <cell r="H386">
            <v>1.4412154505481E-4</v>
          </cell>
        </row>
        <row r="387">
          <cell r="B387" t="str">
            <v>V2G</v>
          </cell>
          <cell r="C387" t="str">
            <v>VAR_fin</v>
          </cell>
          <cell r="D387" t="str">
            <v>T-ELC-car-BatSTGOut_S3</v>
          </cell>
          <cell r="E387"/>
          <cell r="F387"/>
          <cell r="G387"/>
          <cell r="H387">
            <v>1.7087188353178754E-4</v>
          </cell>
        </row>
        <row r="388">
          <cell r="B388" t="str">
            <v>V2G</v>
          </cell>
          <cell r="C388" t="str">
            <v>VAR_fin</v>
          </cell>
          <cell r="D388" t="str">
            <v>T-ELC-car-BatSTGOut_S4</v>
          </cell>
          <cell r="E388"/>
          <cell r="F388"/>
          <cell r="G388"/>
          <cell r="H388">
            <v>1.3862433180768306E-4</v>
          </cell>
        </row>
        <row r="389">
          <cell r="B389" t="str">
            <v>V2G</v>
          </cell>
          <cell r="C389" t="str">
            <v>VAR_fin</v>
          </cell>
          <cell r="D389" t="str">
            <v>T-ELC-car-PlgSTGOut_S1</v>
          </cell>
          <cell r="E389"/>
          <cell r="F389"/>
          <cell r="G389"/>
          <cell r="H389">
            <v>1.641341130912228E-4</v>
          </cell>
        </row>
        <row r="390">
          <cell r="B390" t="str">
            <v>V2G</v>
          </cell>
          <cell r="C390" t="str">
            <v>VAR_fin</v>
          </cell>
          <cell r="D390" t="str">
            <v>T-ELC-car-PlgSTGOut_S2</v>
          </cell>
          <cell r="E390"/>
          <cell r="F390"/>
          <cell r="G390"/>
          <cell r="H390">
            <v>3.3146198355678729E-5</v>
          </cell>
        </row>
        <row r="391">
          <cell r="B391" t="str">
            <v>V2G</v>
          </cell>
          <cell r="C391" t="str">
            <v>VAR_fin</v>
          </cell>
          <cell r="D391" t="str">
            <v>T-ELC-car-PlgSTGOut_S3</v>
          </cell>
          <cell r="E391"/>
          <cell r="F391"/>
          <cell r="G391"/>
          <cell r="H391">
            <v>1.4315134062945986E-4</v>
          </cell>
        </row>
        <row r="392">
          <cell r="B392" t="str">
            <v>V2G</v>
          </cell>
          <cell r="C392" t="str">
            <v>VAR_fin</v>
          </cell>
          <cell r="D392" t="str">
            <v>T-ELC-TWSTGout_S1</v>
          </cell>
          <cell r="E392"/>
          <cell r="F392"/>
          <cell r="G392"/>
          <cell r="H392">
            <v>3.3367212887668658E-4</v>
          </cell>
        </row>
        <row r="393">
          <cell r="B393" t="str">
            <v>V2G</v>
          </cell>
          <cell r="C393" t="str">
            <v>VAR_fin</v>
          </cell>
          <cell r="D393" t="str">
            <v>T-ELC-car-PlgSTGOut_S4</v>
          </cell>
          <cell r="E393"/>
          <cell r="F393"/>
          <cell r="G393"/>
          <cell r="H393">
            <v>3.2210423011573359E-5</v>
          </cell>
        </row>
        <row r="394">
          <cell r="B394" t="str">
            <v>V2G</v>
          </cell>
          <cell r="C394" t="str">
            <v>VAR_fin</v>
          </cell>
          <cell r="D394" t="str">
            <v>T-ELC-TWSTGout_S2</v>
          </cell>
          <cell r="E394"/>
          <cell r="F394"/>
          <cell r="G394"/>
          <cell r="H394">
            <v>4.811290159065512E-4</v>
          </cell>
        </row>
        <row r="395">
          <cell r="B395" t="str">
            <v>V2G</v>
          </cell>
          <cell r="C395" t="str">
            <v>VAR_fin</v>
          </cell>
          <cell r="D395" t="str">
            <v>T-ELC-TWSTGout_S3</v>
          </cell>
          <cell r="E395"/>
          <cell r="F395"/>
          <cell r="G395"/>
          <cell r="H395">
            <v>6.1519210636479824E-4</v>
          </cell>
        </row>
        <row r="396">
          <cell r="B396" t="str">
            <v>V2G</v>
          </cell>
          <cell r="C396" t="str">
            <v>VAR_fin</v>
          </cell>
          <cell r="D396" t="str">
            <v>T-ELC-TWSTGout_S4</v>
          </cell>
          <cell r="E396"/>
          <cell r="F396"/>
          <cell r="G396"/>
          <cell r="H396">
            <v>6.7767259032902431E-4</v>
          </cell>
        </row>
        <row r="397">
          <cell r="B397" t="str">
            <v>V2G</v>
          </cell>
          <cell r="C397" t="str">
            <v>VAR_fin</v>
          </cell>
          <cell r="D397" t="str">
            <v>T-ELC-Bus_u_BatSTGout_S1</v>
          </cell>
          <cell r="E397"/>
          <cell r="F397"/>
          <cell r="G397"/>
          <cell r="H397">
            <v>3.1366742089048324E-5</v>
          </cell>
        </row>
        <row r="398">
          <cell r="B398" t="str">
            <v>V2G</v>
          </cell>
          <cell r="C398" t="str">
            <v>VAR_fin</v>
          </cell>
          <cell r="D398" t="str">
            <v>T-ELC-Bus_u_BatSTGout_S2</v>
          </cell>
          <cell r="E398"/>
          <cell r="F398"/>
          <cell r="G398"/>
          <cell r="H398">
            <v>2.7144698591220553E-5</v>
          </cell>
        </row>
        <row r="399">
          <cell r="B399" t="str">
            <v>V2G</v>
          </cell>
          <cell r="C399" t="str">
            <v>VAR_fin</v>
          </cell>
          <cell r="D399" t="str">
            <v>T-ELC-Bus_u_BatSTGout_S3</v>
          </cell>
          <cell r="E399"/>
          <cell r="F399"/>
          <cell r="G399"/>
          <cell r="H399">
            <v>1.6319923972217568E-5</v>
          </cell>
        </row>
        <row r="400">
          <cell r="B400" t="str">
            <v>V2G</v>
          </cell>
          <cell r="C400" t="str">
            <v>VAR_fin</v>
          </cell>
          <cell r="D400" t="str">
            <v>T-ELC-Bus_u_BatSTGout_S4</v>
          </cell>
          <cell r="E400"/>
          <cell r="F400"/>
          <cell r="G400"/>
          <cell r="H400">
            <v>4.4370224915129209E-5</v>
          </cell>
        </row>
        <row r="401">
          <cell r="B401" t="str">
            <v>V2G</v>
          </cell>
          <cell r="C401" t="str">
            <v>VAR_fin</v>
          </cell>
          <cell r="D401" t="str">
            <v>T-ELC-LGV_BatSTGout</v>
          </cell>
          <cell r="E401"/>
          <cell r="F401"/>
          <cell r="G401"/>
          <cell r="H401">
            <v>1.1838371020137065E-4</v>
          </cell>
        </row>
        <row r="402">
          <cell r="B402" t="str">
            <v>V2G</v>
          </cell>
          <cell r="C402" t="str">
            <v>VAR_fin</v>
          </cell>
          <cell r="D402" t="str">
            <v>T-ELC-HGV_BatSTGout</v>
          </cell>
          <cell r="E402"/>
          <cell r="F402"/>
          <cell r="G402"/>
          <cell r="H402">
            <v>1.7355249151725357E-4</v>
          </cell>
        </row>
        <row r="403">
          <cell r="B403" t="str">
            <v>V2G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>
            <v>1.1084331294218301E-3</v>
          </cell>
        </row>
        <row r="404">
          <cell r="B404" t="str">
            <v>V2G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>
            <v>1.1084331294218301E-3</v>
          </cell>
        </row>
        <row r="405">
          <cell r="B405" t="str">
            <v>D-EBIO</v>
          </cell>
          <cell r="C405" t="str">
            <v>VAR_fout</v>
          </cell>
          <cell r="D405" t="str">
            <v>EBIO</v>
          </cell>
          <cell r="E405">
            <v>1.1839529493940701</v>
          </cell>
          <cell r="F405">
            <v>1.1839506438818965</v>
          </cell>
          <cell r="G405">
            <v>1.1839511575705857</v>
          </cell>
          <cell r="H405">
            <v>1.1839500793150159</v>
          </cell>
        </row>
        <row r="406">
          <cell r="B406" t="str">
            <v>D-EBIO</v>
          </cell>
          <cell r="C406" t="str">
            <v>VAR_fin</v>
          </cell>
          <cell r="D406" t="str">
            <v>BIO</v>
          </cell>
          <cell r="E406">
            <v>1.1839529493940701</v>
          </cell>
          <cell r="F406">
            <v>1.1839506438818965</v>
          </cell>
          <cell r="G406">
            <v>1.1839511575705857</v>
          </cell>
          <cell r="H406">
            <v>1.1839500793150159</v>
          </cell>
        </row>
        <row r="407">
          <cell r="B407" t="str">
            <v>G-INTC3</v>
          </cell>
          <cell r="C407" t="str">
            <v>VAR_fout</v>
          </cell>
          <cell r="D407" t="str">
            <v>ELC35</v>
          </cell>
          <cell r="E407">
            <v>200.69348662003287</v>
          </cell>
          <cell r="F407">
            <v>106.06340351271602</v>
          </cell>
          <cell r="G407">
            <v>95.445607760401572</v>
          </cell>
          <cell r="H407">
            <v>128.89909591422884</v>
          </cell>
        </row>
        <row r="408">
          <cell r="B408" t="str">
            <v>G-INTC3</v>
          </cell>
          <cell r="C408" t="str">
            <v>VAR_fout</v>
          </cell>
          <cell r="D408" t="str">
            <v>ELC3</v>
          </cell>
          <cell r="E408">
            <v>35.73489880739352</v>
          </cell>
          <cell r="F408">
            <v>68.799245816745653</v>
          </cell>
          <cell r="G408">
            <v>68.333343194157564</v>
          </cell>
          <cell r="H408">
            <v>43.343722497832381</v>
          </cell>
        </row>
        <row r="409">
          <cell r="B409" t="str">
            <v>G-INTC3</v>
          </cell>
          <cell r="C409" t="str">
            <v>VAR_fout</v>
          </cell>
          <cell r="D409" t="str">
            <v>ELC</v>
          </cell>
          <cell r="E409">
            <v>9.0091488007805458E-3</v>
          </cell>
          <cell r="F409">
            <v>7.6910961423516644E-4</v>
          </cell>
          <cell r="G409">
            <v>7.9399509916922863E-4</v>
          </cell>
          <cell r="H409">
            <v>4.5427967411985968E-4</v>
          </cell>
        </row>
        <row r="410">
          <cell r="B410" t="str">
            <v>G-INTC3</v>
          </cell>
          <cell r="C410" t="str">
            <v>VAR_fin</v>
          </cell>
          <cell r="D410" t="str">
            <v>ELC13</v>
          </cell>
          <cell r="E410">
            <v>241.39049112067568</v>
          </cell>
          <cell r="F410">
            <v>183.10421594764327</v>
          </cell>
          <cell r="G410">
            <v>170.93467877542363</v>
          </cell>
          <cell r="H410">
            <v>178.7888218096592</v>
          </cell>
        </row>
        <row r="411">
          <cell r="B411" t="str">
            <v>G-INTC3</v>
          </cell>
          <cell r="C411" t="str">
            <v>VAR_ncap</v>
          </cell>
          <cell r="D411" t="str">
            <v>-</v>
          </cell>
          <cell r="E411">
            <v>4.3546204814062002E-8</v>
          </cell>
          <cell r="F411">
            <v>4.5905488700441597E-8</v>
          </cell>
          <cell r="G411">
            <v>5.3532056693292699E-8</v>
          </cell>
          <cell r="H411">
            <v>6.36834461295135E-8</v>
          </cell>
        </row>
        <row r="412">
          <cell r="B412" t="str">
            <v>G-INTC3</v>
          </cell>
          <cell r="C412" t="str">
            <v>VAR_cap</v>
          </cell>
          <cell r="D412" t="str">
            <v>-</v>
          </cell>
          <cell r="E412">
            <v>13.914190167241101</v>
          </cell>
          <cell r="F412">
            <v>13.914190167241101</v>
          </cell>
          <cell r="G412">
            <v>13.914190167241101</v>
          </cell>
          <cell r="H412">
            <v>13.914190209906533</v>
          </cell>
        </row>
        <row r="413">
          <cell r="B413" t="str">
            <v>HPLBIO</v>
          </cell>
          <cell r="C413" t="str">
            <v>VAR_fout</v>
          </cell>
          <cell r="D413" t="str">
            <v>LTH</v>
          </cell>
          <cell r="E413">
            <v>0.90177654254630846</v>
          </cell>
          <cell r="F413">
            <v>0.9017747865163952</v>
          </cell>
          <cell r="G413">
            <v>0.90177517777553207</v>
          </cell>
          <cell r="H413">
            <v>0.90177435650507365</v>
          </cell>
        </row>
        <row r="414">
          <cell r="B414" t="str">
            <v>HPLBIO</v>
          </cell>
          <cell r="C414" t="str">
            <v>VAR_fin</v>
          </cell>
          <cell r="D414" t="str">
            <v>EBIO</v>
          </cell>
          <cell r="E414">
            <v>1.1839529493940701</v>
          </cell>
          <cell r="F414">
            <v>1.1839506438818965</v>
          </cell>
          <cell r="G414">
            <v>1.1839511575705857</v>
          </cell>
          <cell r="H414">
            <v>1.1839500793150159</v>
          </cell>
        </row>
        <row r="415">
          <cell r="B415" t="str">
            <v>HPLBIO</v>
          </cell>
          <cell r="C415" t="str">
            <v>VAR_ncap</v>
          </cell>
          <cell r="D415" t="str">
            <v>-</v>
          </cell>
          <cell r="E415">
            <v>4.6337657065505201E-6</v>
          </cell>
          <cell r="F415">
            <v>2.6585792803008598E-6</v>
          </cell>
          <cell r="G415">
            <v>2.67870091985487E-6</v>
          </cell>
          <cell r="H415">
            <v>6.29255578642927E-2</v>
          </cell>
        </row>
        <row r="416">
          <cell r="B416" t="str">
            <v>HPLBIO</v>
          </cell>
          <cell r="C416" t="str">
            <v>VAR_cap</v>
          </cell>
          <cell r="D416" t="str">
            <v>-</v>
          </cell>
          <cell r="E416">
            <v>0.11438383249417781</v>
          </cell>
          <cell r="F416">
            <v>0.11438467955717166</v>
          </cell>
          <cell r="G416">
            <v>0.11438566103990261</v>
          </cell>
          <cell r="H416">
            <v>0.11438079118931745</v>
          </cell>
        </row>
        <row r="417">
          <cell r="B417" t="str">
            <v>CHPGFC</v>
          </cell>
          <cell r="C417" t="str">
            <v>VAR_fout</v>
          </cell>
          <cell r="D417" t="str">
            <v>ELC35</v>
          </cell>
          <cell r="E417"/>
          <cell r="F417"/>
          <cell r="G417"/>
          <cell r="H417"/>
        </row>
        <row r="418">
          <cell r="B418" t="str">
            <v>CHPGFC</v>
          </cell>
          <cell r="C418" t="str">
            <v>VAR_fout</v>
          </cell>
          <cell r="D418" t="str">
            <v>LTH</v>
          </cell>
          <cell r="E418"/>
          <cell r="F418"/>
          <cell r="G418"/>
          <cell r="H418"/>
        </row>
        <row r="419">
          <cell r="B419" t="str">
            <v>CHPGFC</v>
          </cell>
          <cell r="C419" t="str">
            <v>VAR_fout</v>
          </cell>
          <cell r="D419" t="str">
            <v>CO2_E</v>
          </cell>
          <cell r="E419"/>
          <cell r="F419"/>
          <cell r="G419"/>
          <cell r="H419"/>
        </row>
        <row r="420">
          <cell r="B420" t="str">
            <v>CHPGFC</v>
          </cell>
          <cell r="C420" t="str">
            <v>VAR_fin</v>
          </cell>
          <cell r="D420" t="str">
            <v>ENGA</v>
          </cell>
          <cell r="E420"/>
          <cell r="F420"/>
          <cell r="G420"/>
          <cell r="H420"/>
        </row>
        <row r="421">
          <cell r="B421" t="str">
            <v>CHPGFC</v>
          </cell>
          <cell r="C421" t="str">
            <v>VAR_ncap</v>
          </cell>
          <cell r="D421" t="str">
            <v>-</v>
          </cell>
          <cell r="E421"/>
          <cell r="F421"/>
          <cell r="G421"/>
          <cell r="H421"/>
        </row>
        <row r="422">
          <cell r="B422" t="str">
            <v>CHPGFC</v>
          </cell>
          <cell r="C422" t="str">
            <v>VAR_cap</v>
          </cell>
          <cell r="D422" t="str">
            <v>-</v>
          </cell>
          <cell r="E422"/>
          <cell r="F422"/>
          <cell r="G422"/>
          <cell r="H422"/>
        </row>
        <row r="423">
          <cell r="B423" t="str">
            <v>G-INTC5</v>
          </cell>
          <cell r="C423" t="str">
            <v>VAR_fout</v>
          </cell>
          <cell r="D423" t="str">
            <v>ELC5</v>
          </cell>
          <cell r="E423">
            <v>153.58478019636047</v>
          </cell>
          <cell r="F423">
            <v>120.4074715264242</v>
          </cell>
          <cell r="G423">
            <v>110.96085920490232</v>
          </cell>
          <cell r="H423">
            <v>146.02299531068891</v>
          </cell>
        </row>
        <row r="424">
          <cell r="B424" t="str">
            <v>G-INTC5</v>
          </cell>
          <cell r="C424" t="str">
            <v>VAR_fout</v>
          </cell>
          <cell r="D424" t="str">
            <v>ELC13</v>
          </cell>
          <cell r="E424">
            <v>62.059323967491402</v>
          </cell>
          <cell r="F424">
            <v>6.5212331934322754E-4</v>
          </cell>
          <cell r="G424">
            <v>6.7761147484318945E-4</v>
          </cell>
          <cell r="H424">
            <v>4.1219052811294416E-4</v>
          </cell>
        </row>
        <row r="425">
          <cell r="B425" t="str">
            <v>G-INTC5</v>
          </cell>
          <cell r="C425" t="str">
            <v>VAR_fin</v>
          </cell>
          <cell r="D425" t="str">
            <v>ELC35</v>
          </cell>
          <cell r="E425">
            <v>222.45495737397943</v>
          </cell>
          <cell r="F425">
            <v>126.10260435033409</v>
          </cell>
          <cell r="G425">
            <v>115.95699551600775</v>
          </cell>
          <cell r="H425">
            <v>152.04724409378801</v>
          </cell>
        </row>
        <row r="426">
          <cell r="B426" t="str">
            <v>G-INTC5</v>
          </cell>
          <cell r="C426" t="str">
            <v>VAR_ncap</v>
          </cell>
          <cell r="D426" t="str">
            <v>-</v>
          </cell>
          <cell r="E426">
            <v>1.98947192413411E-7</v>
          </cell>
          <cell r="F426">
            <v>2.1353907013816101E-7</v>
          </cell>
          <cell r="G426">
            <v>2.4072371992204798E-7</v>
          </cell>
          <cell r="H426">
            <v>2.78448329956233E-7</v>
          </cell>
        </row>
        <row r="427">
          <cell r="B427" t="str">
            <v>G-INTC5</v>
          </cell>
          <cell r="C427" t="str">
            <v>VAR_cap</v>
          </cell>
          <cell r="D427" t="str">
            <v>-</v>
          </cell>
          <cell r="E427">
            <v>12.649263788401001</v>
          </cell>
          <cell r="F427">
            <v>12.649263788401001</v>
          </cell>
          <cell r="G427">
            <v>12.649263788401001</v>
          </cell>
          <cell r="H427">
            <v>12.649263984878132</v>
          </cell>
        </row>
        <row r="428">
          <cell r="B428" t="str">
            <v>D-SLFO</v>
          </cell>
          <cell r="C428" t="str">
            <v>VAR_fout</v>
          </cell>
          <cell r="D428" t="str">
            <v>CO2</v>
          </cell>
          <cell r="E428">
            <v>2267.7886430973299</v>
          </cell>
          <cell r="F428">
            <v>1978.75493190877</v>
          </cell>
          <cell r="G428">
            <v>2028.0269831825201</v>
          </cell>
          <cell r="H428">
            <v>1465.8414138988501</v>
          </cell>
        </row>
        <row r="429">
          <cell r="B429" t="str">
            <v>D-SLFO</v>
          </cell>
          <cell r="C429" t="str">
            <v>VAR_fout</v>
          </cell>
          <cell r="D429" t="str">
            <v>SLFO</v>
          </cell>
          <cell r="E429">
            <v>30.256634055456193</v>
          </cell>
          <cell r="F429">
            <v>26.400372028683567</v>
          </cell>
          <cell r="G429">
            <v>27.057776964062349</v>
          </cell>
          <cell r="H429">
            <v>19.557191665279888</v>
          </cell>
        </row>
        <row r="430">
          <cell r="B430" t="str">
            <v>D-SLFO</v>
          </cell>
          <cell r="C430" t="str">
            <v>VAR_fin</v>
          </cell>
          <cell r="D430" t="str">
            <v>LFO</v>
          </cell>
          <cell r="E430">
            <v>30.770537898199827</v>
          </cell>
          <cell r="F430">
            <v>26.848777909209947</v>
          </cell>
          <cell r="G430">
            <v>27.517326773168527</v>
          </cell>
          <cell r="H430">
            <v>19.889300052901671</v>
          </cell>
        </row>
        <row r="431">
          <cell r="B431" t="str">
            <v>D-SLFO</v>
          </cell>
          <cell r="C431" t="str">
            <v>VAR_fin</v>
          </cell>
          <cell r="D431" t="str">
            <v>BDS</v>
          </cell>
          <cell r="E431"/>
          <cell r="F431"/>
          <cell r="G431">
            <v>2.1748458666761112E-5</v>
          </cell>
          <cell r="H431">
            <v>6.7070901476700952E-5</v>
          </cell>
        </row>
        <row r="432">
          <cell r="B432" t="str">
            <v>D-RCOA</v>
          </cell>
          <cell r="C432" t="str">
            <v>VAR_fout</v>
          </cell>
          <cell r="D432" t="str">
            <v>CO2</v>
          </cell>
          <cell r="E432">
            <v>9.2700810955579893</v>
          </cell>
          <cell r="F432">
            <v>9.27005946500765</v>
          </cell>
          <cell r="G432">
            <v>2.4985699249556999</v>
          </cell>
          <cell r="H432">
            <v>0.561906252020832</v>
          </cell>
        </row>
        <row r="433">
          <cell r="B433" t="str">
            <v>D-RCOA</v>
          </cell>
          <cell r="C433" t="str">
            <v>VAR_fout</v>
          </cell>
          <cell r="D433" t="str">
            <v>RCOA</v>
          </cell>
          <cell r="E433">
            <v>0.10000087481723838</v>
          </cell>
          <cell r="F433">
            <v>0.10000064147796808</v>
          </cell>
          <cell r="G433">
            <v>2.6953289373847958E-2</v>
          </cell>
          <cell r="H433">
            <v>6.0615561167295905E-3</v>
          </cell>
        </row>
        <row r="434">
          <cell r="B434" t="str">
            <v>D-RCOA</v>
          </cell>
          <cell r="C434" t="str">
            <v>VAR_fin</v>
          </cell>
          <cell r="D434" t="str">
            <v>COA</v>
          </cell>
          <cell r="E434">
            <v>0.10000087481723838</v>
          </cell>
          <cell r="F434">
            <v>0.10000064147796808</v>
          </cell>
          <cell r="G434">
            <v>2.6953289373847958E-2</v>
          </cell>
          <cell r="H434">
            <v>6.0615561167295905E-3</v>
          </cell>
        </row>
        <row r="435">
          <cell r="B435" t="str">
            <v>EHYD-RUN00</v>
          </cell>
          <cell r="C435" t="str">
            <v>VAR_fout</v>
          </cell>
          <cell r="D435" t="str">
            <v>ELC13</v>
          </cell>
          <cell r="E435">
            <v>54.392400218261734</v>
          </cell>
          <cell r="F435">
            <v>43.519558202916741</v>
          </cell>
          <cell r="G435">
            <v>53.287421031564058</v>
          </cell>
          <cell r="H435">
            <v>52.194289399075402</v>
          </cell>
        </row>
        <row r="436">
          <cell r="B436" t="str">
            <v>EHYD-RUN00</v>
          </cell>
          <cell r="C436" t="str">
            <v>VAR_fin</v>
          </cell>
          <cell r="D436" t="str">
            <v>HYDR</v>
          </cell>
          <cell r="E436">
            <v>54.392400218261734</v>
          </cell>
          <cell r="F436">
            <v>43.519558202916741</v>
          </cell>
          <cell r="G436">
            <v>53.287421031564058</v>
          </cell>
          <cell r="H436">
            <v>52.194289399075402</v>
          </cell>
        </row>
        <row r="437">
          <cell r="B437" t="str">
            <v>EHYD-RUN00</v>
          </cell>
          <cell r="C437" t="str">
            <v>VAR_cap</v>
          </cell>
          <cell r="D437" t="str">
            <v>-</v>
          </cell>
          <cell r="E437">
            <v>3.86687</v>
          </cell>
          <cell r="F437">
            <v>3.9240852000672399</v>
          </cell>
          <cell r="G437">
            <v>3.9610124303882599</v>
          </cell>
          <cell r="H437">
            <v>3.9647700000000001</v>
          </cell>
        </row>
        <row r="438">
          <cell r="B438" t="str">
            <v>HPLELCHP</v>
          </cell>
          <cell r="C438" t="str">
            <v>VAR_fout</v>
          </cell>
          <cell r="D438" t="str">
            <v>LTH</v>
          </cell>
          <cell r="E438"/>
          <cell r="F438">
            <v>4.5023057005928955</v>
          </cell>
          <cell r="G438">
            <v>4.638730214684279</v>
          </cell>
          <cell r="H438">
            <v>4.8753521612184842</v>
          </cell>
        </row>
        <row r="439">
          <cell r="B439" t="str">
            <v>HPLELCHP</v>
          </cell>
          <cell r="C439" t="str">
            <v>VAR_fin</v>
          </cell>
          <cell r="D439" t="str">
            <v>ELC35</v>
          </cell>
          <cell r="E439"/>
          <cell r="F439">
            <v>1.5007685668642978</v>
          </cell>
          <cell r="G439">
            <v>1.5462434048947613</v>
          </cell>
          <cell r="H439">
            <v>1.6251173870728275</v>
          </cell>
        </row>
        <row r="440">
          <cell r="B440" t="str">
            <v>HPLELCHP</v>
          </cell>
          <cell r="C440" t="str">
            <v>VAR_fin</v>
          </cell>
          <cell r="D440" t="str">
            <v>WWTPCC</v>
          </cell>
          <cell r="E440"/>
          <cell r="F440">
            <v>9.0046114011857803</v>
          </cell>
          <cell r="G440">
            <v>9.2774604293685599</v>
          </cell>
          <cell r="H440">
            <v>9.7507043224369596</v>
          </cell>
        </row>
        <row r="441">
          <cell r="B441" t="str">
            <v>HPLELCHP</v>
          </cell>
          <cell r="C441" t="str">
            <v>VAR_ncap</v>
          </cell>
          <cell r="D441" t="str">
            <v>-</v>
          </cell>
          <cell r="E441"/>
          <cell r="F441">
            <v>0.27724657699817001</v>
          </cell>
          <cell r="G441">
            <v>8.40115811988623E-3</v>
          </cell>
          <cell r="H441">
            <v>1.45576780549146E-2</v>
          </cell>
        </row>
        <row r="442">
          <cell r="B442" t="str">
            <v>HPLELCHP</v>
          </cell>
          <cell r="C442" t="str">
            <v>VAR_cap</v>
          </cell>
          <cell r="D442" t="str">
            <v>-</v>
          </cell>
          <cell r="E442"/>
          <cell r="F442">
            <v>0.27724657699817001</v>
          </cell>
          <cell r="G442">
            <v>0.2856476504218376</v>
          </cell>
          <cell r="H442">
            <v>0.30020517396631474</v>
          </cell>
        </row>
        <row r="443">
          <cell r="B443" t="str">
            <v>D-ITOT_LTH</v>
          </cell>
          <cell r="C443" t="str">
            <v>VAR_fout</v>
          </cell>
          <cell r="D443" t="str">
            <v>ITOT_LTH_DH</v>
          </cell>
          <cell r="E443">
            <v>7.1200029729715606</v>
          </cell>
          <cell r="F443">
            <v>7.6289070574065185</v>
          </cell>
          <cell r="G443">
            <v>7.6289065666842193</v>
          </cell>
          <cell r="H443">
            <v>7.6289148403193145</v>
          </cell>
        </row>
        <row r="444">
          <cell r="B444" t="str">
            <v>D-ITOT_LTH</v>
          </cell>
          <cell r="C444" t="str">
            <v>VAR_fin</v>
          </cell>
          <cell r="D444" t="str">
            <v>LTH</v>
          </cell>
          <cell r="E444">
            <v>7.7403389225368366</v>
          </cell>
          <cell r="F444">
            <v>8.2914020285312908</v>
          </cell>
          <cell r="G444">
            <v>8.2881341624104916</v>
          </cell>
          <cell r="H444">
            <v>8.2827033090642388</v>
          </cell>
        </row>
        <row r="445">
          <cell r="B445" t="str">
            <v>D-ITOT_LTH</v>
          </cell>
          <cell r="C445" t="str">
            <v>VAR_ncap</v>
          </cell>
          <cell r="D445" t="str">
            <v>-</v>
          </cell>
          <cell r="E445">
            <v>0.79547235099867997</v>
          </cell>
          <cell r="F445">
            <v>1.09713184330323E-8</v>
          </cell>
          <cell r="G445">
            <v>1.25058691654534E-8</v>
          </cell>
          <cell r="H445">
            <v>1.43675958981846E-8</v>
          </cell>
        </row>
        <row r="446">
          <cell r="B446" t="str">
            <v>D-ITOT_LTH</v>
          </cell>
          <cell r="C446" t="str">
            <v>VAR_cap</v>
          </cell>
          <cell r="D446" t="str">
            <v>-</v>
          </cell>
          <cell r="E446">
            <v>0.79547235099867997</v>
          </cell>
          <cell r="F446">
            <v>0.79547236196999904</v>
          </cell>
          <cell r="G446">
            <v>0.79547237447586805</v>
          </cell>
          <cell r="H446">
            <v>0.79547238884346405</v>
          </cell>
        </row>
        <row r="447">
          <cell r="B447" t="str">
            <v>RHEM-ESOLPV</v>
          </cell>
          <cell r="C447" t="str">
            <v>VAR_fout</v>
          </cell>
          <cell r="D447" t="str">
            <v>RHEM_SOL_ELC</v>
          </cell>
          <cell r="E447">
            <v>0.86248322578584768</v>
          </cell>
          <cell r="F447">
            <v>1.2875826188714128</v>
          </cell>
          <cell r="G447">
            <v>1.7886877499229259</v>
          </cell>
          <cell r="H447">
            <v>1.9390571077468997</v>
          </cell>
        </row>
        <row r="448">
          <cell r="B448" t="str">
            <v>RHEM-ESOLPV</v>
          </cell>
          <cell r="C448" t="str">
            <v>VAR_fin</v>
          </cell>
          <cell r="D448" t="str">
            <v>SOL</v>
          </cell>
          <cell r="E448">
            <v>0.86248322578584768</v>
          </cell>
          <cell r="F448">
            <v>1.2875826188714128</v>
          </cell>
          <cell r="G448">
            <v>1.7886877499229259</v>
          </cell>
          <cell r="H448">
            <v>1.9390571077468997</v>
          </cell>
        </row>
        <row r="449">
          <cell r="B449" t="str">
            <v>RHEM-ESOLPV</v>
          </cell>
          <cell r="C449" t="str">
            <v>VAR_fin</v>
          </cell>
          <cell r="D449" t="str">
            <v>SOLPVC</v>
          </cell>
          <cell r="E449">
            <v>0.86248322578584802</v>
          </cell>
          <cell r="F449">
            <v>1.2875826188714099</v>
          </cell>
          <cell r="G449">
            <v>1.7886877499229299</v>
          </cell>
          <cell r="H449">
            <v>1.9390571077469001</v>
          </cell>
        </row>
        <row r="450">
          <cell r="B450" t="str">
            <v>RHEM-ESOLPV</v>
          </cell>
          <cell r="C450" t="str">
            <v>VAR_ncap</v>
          </cell>
          <cell r="D450" t="str">
            <v>-</v>
          </cell>
          <cell r="F450">
            <v>1.55357477661244E-8</v>
          </cell>
          <cell r="G450">
            <v>8.7551058195450004E-2</v>
          </cell>
          <cell r="H450">
            <v>1.3597844911402701E-7</v>
          </cell>
        </row>
        <row r="451">
          <cell r="B451" t="str">
            <v>RHEM-ESOLPV</v>
          </cell>
          <cell r="C451" t="str">
            <v>VAR_cap</v>
          </cell>
          <cell r="D451" t="str">
            <v>-</v>
          </cell>
          <cell r="E451">
            <v>0.27424799999999999</v>
          </cell>
          <cell r="F451">
            <v>0.43894533301216077</v>
          </cell>
          <cell r="G451">
            <v>0.57069907373119777</v>
          </cell>
          <cell r="H451">
            <v>0.55897442196912894</v>
          </cell>
        </row>
        <row r="452">
          <cell r="B452" t="str">
            <v>HPLNUC</v>
          </cell>
          <cell r="C452" t="str">
            <v>VAR_fout</v>
          </cell>
          <cell r="D452" t="str">
            <v>LTH</v>
          </cell>
          <cell r="E452">
            <v>1.4500078789959512</v>
          </cell>
          <cell r="F452">
            <v>3.8019175344714666</v>
          </cell>
          <cell r="G452">
            <v>3.8014850482265414</v>
          </cell>
          <cell r="H452">
            <v>1.0696417797971158</v>
          </cell>
        </row>
        <row r="453">
          <cell r="B453" t="str">
            <v>HPLNUC</v>
          </cell>
          <cell r="C453" t="str">
            <v>VAR_fin</v>
          </cell>
          <cell r="D453" t="str">
            <v>URN</v>
          </cell>
          <cell r="E453">
            <v>1.4500078789959512</v>
          </cell>
          <cell r="F453">
            <v>3.8019175344714666</v>
          </cell>
          <cell r="G453">
            <v>3.8014850482265414</v>
          </cell>
          <cell r="H453">
            <v>1.0696417797971158</v>
          </cell>
        </row>
        <row r="454">
          <cell r="B454" t="str">
            <v>HPLNUC</v>
          </cell>
          <cell r="C454" t="str">
            <v>VAR_cap</v>
          </cell>
          <cell r="D454" t="str">
            <v>-</v>
          </cell>
          <cell r="E454">
            <v>0.120558721922211</v>
          </cell>
          <cell r="F454">
            <v>0.120558721922211</v>
          </cell>
          <cell r="G454">
            <v>0.120558721922211</v>
          </cell>
          <cell r="H454">
            <v>0.11197225056919</v>
          </cell>
        </row>
        <row r="455">
          <cell r="B455" t="str">
            <v>ITOT-CHPWODCCS</v>
          </cell>
          <cell r="C455" t="str">
            <v>VAR_fin</v>
          </cell>
          <cell r="D455" t="str">
            <v>IWOD</v>
          </cell>
        </row>
        <row r="456">
          <cell r="B456" t="str">
            <v>SUP_WODBIO</v>
          </cell>
          <cell r="C456" t="str">
            <v>VAR_fout</v>
          </cell>
          <cell r="D456" t="str">
            <v>ELC35</v>
          </cell>
          <cell r="G456">
            <v>1.4339096448499721E-6</v>
          </cell>
          <cell r="H456">
            <v>1.7068374573268985E-6</v>
          </cell>
        </row>
        <row r="457">
          <cell r="B457" t="str">
            <v>SUP_WODBIO</v>
          </cell>
          <cell r="C457" t="str">
            <v>VAR_fout</v>
          </cell>
          <cell r="D457" t="str">
            <v>BIO</v>
          </cell>
          <cell r="F457">
            <v>2.9924828619671559E-5</v>
          </cell>
          <cell r="G457">
            <v>6.4414245245076102E-5</v>
          </cell>
          <cell r="H457">
            <v>7.3680301321450307E-5</v>
          </cell>
        </row>
        <row r="458">
          <cell r="B458" t="str">
            <v>SUP_WODBIO</v>
          </cell>
          <cell r="C458" t="str">
            <v>VAR_fout</v>
          </cell>
          <cell r="D458" t="str">
            <v>LTH</v>
          </cell>
          <cell r="F458">
            <v>3.590979434360588E-6</v>
          </cell>
          <cell r="G458">
            <v>7.7297094294091306E-6</v>
          </cell>
          <cell r="H458">
            <v>8.8416361585740396E-6</v>
          </cell>
        </row>
        <row r="459">
          <cell r="B459" t="str">
            <v>SUP_WODBIO</v>
          </cell>
          <cell r="C459" t="str">
            <v>VAR_fin</v>
          </cell>
          <cell r="D459" t="str">
            <v>CWOD</v>
          </cell>
          <cell r="F459">
            <v>4.0398518636556609E-5</v>
          </cell>
          <cell r="G459">
            <v>8.6959231080852741E-5</v>
          </cell>
          <cell r="H459">
            <v>9.9468406783957908E-5</v>
          </cell>
        </row>
        <row r="460">
          <cell r="B460" t="str">
            <v>SUP_WODBIO</v>
          </cell>
          <cell r="C460" t="str">
            <v>VAR_ncap</v>
          </cell>
          <cell r="D460" t="str">
            <v>-</v>
          </cell>
          <cell r="E460">
            <v>1.6515617230208301E-7</v>
          </cell>
          <cell r="F460">
            <v>7.71765422465545E-6</v>
          </cell>
          <cell r="G460">
            <v>3.9428735470364901E-7</v>
          </cell>
          <cell r="H460">
            <v>6.9886470906497696E-8</v>
          </cell>
        </row>
        <row r="461">
          <cell r="B461" t="str">
            <v>SUP_WODBIO</v>
          </cell>
          <cell r="C461" t="str">
            <v>VAR_cap</v>
          </cell>
          <cell r="D461" t="str">
            <v>-</v>
          </cell>
          <cell r="E461">
            <v>1.6515617230208301E-7</v>
          </cell>
          <cell r="F461">
            <v>7.8620719559958749E-6</v>
          </cell>
          <cell r="G461">
            <v>8.2172281192520185E-6</v>
          </cell>
          <cell r="H461">
            <v>8.2274337796552596E-6</v>
          </cell>
        </row>
        <row r="462">
          <cell r="B462" t="str">
            <v>D-RLFO</v>
          </cell>
          <cell r="C462" t="str">
            <v>VAR_fout</v>
          </cell>
          <cell r="D462" t="str">
            <v>CO2</v>
          </cell>
          <cell r="E462">
            <v>4514.4829169642198</v>
          </cell>
          <cell r="F462">
            <v>3846.5261273986298</v>
          </cell>
          <cell r="G462">
            <v>3821.8849419166399</v>
          </cell>
          <cell r="H462">
            <v>2498.3393055747301</v>
          </cell>
        </row>
        <row r="463">
          <cell r="B463" t="str">
            <v>D-RLFO</v>
          </cell>
          <cell r="C463" t="str">
            <v>VAR_fout</v>
          </cell>
          <cell r="D463" t="str">
            <v>RLFO</v>
          </cell>
          <cell r="E463">
            <v>60.23182891578346</v>
          </cell>
          <cell r="F463">
            <v>51.320008932797357</v>
          </cell>
          <cell r="G463">
            <v>50.991269920340663</v>
          </cell>
          <cell r="H463">
            <v>33.332686750772716</v>
          </cell>
        </row>
        <row r="464">
          <cell r="B464" t="str">
            <v>D-RLFO</v>
          </cell>
          <cell r="C464" t="str">
            <v>VAR_fin</v>
          </cell>
          <cell r="D464" t="str">
            <v>LFO</v>
          </cell>
          <cell r="E464">
            <v>61.2548564038565</v>
          </cell>
          <cell r="F464">
            <v>52.19167065669776</v>
          </cell>
          <cell r="G464">
            <v>51.857326213251604</v>
          </cell>
          <cell r="H464">
            <v>33.898769410783331</v>
          </cell>
        </row>
        <row r="465">
          <cell r="B465" t="str">
            <v>D-RLFO</v>
          </cell>
          <cell r="C465" t="str">
            <v>VAR_fin</v>
          </cell>
          <cell r="D465" t="str">
            <v>BDS</v>
          </cell>
          <cell r="G465">
            <v>2.1821238439786504E-5</v>
          </cell>
          <cell r="H465">
            <v>6.7404143322154079E-5</v>
          </cell>
        </row>
        <row r="466">
          <cell r="B466" t="str">
            <v>G-INTC-EXP00-IT</v>
          </cell>
          <cell r="C466" t="str">
            <v>VAR_fout</v>
          </cell>
          <cell r="D466" t="str">
            <v>ELC_E-IT</v>
          </cell>
          <cell r="E466">
            <v>71.694107838372162</v>
          </cell>
          <cell r="F466">
            <v>35.622263313325391</v>
          </cell>
          <cell r="G466">
            <v>74.624743058039513</v>
          </cell>
          <cell r="H466">
            <v>58.784561387023906</v>
          </cell>
        </row>
        <row r="467">
          <cell r="B467" t="str">
            <v>G-INTC-EXP00-IT</v>
          </cell>
          <cell r="C467" t="str">
            <v>VAR_fin</v>
          </cell>
          <cell r="D467" t="str">
            <v>ELC</v>
          </cell>
          <cell r="E467">
            <v>71.694107838372162</v>
          </cell>
          <cell r="F467">
            <v>35.622263313325391</v>
          </cell>
          <cell r="G467">
            <v>74.624743058039513</v>
          </cell>
          <cell r="H467">
            <v>58.784561387023906</v>
          </cell>
        </row>
        <row r="468">
          <cell r="B468" t="str">
            <v>G-INTC-EXP00-IT</v>
          </cell>
          <cell r="C468" t="str">
            <v>VAR_ncap</v>
          </cell>
          <cell r="D468" t="str">
            <v>-</v>
          </cell>
          <cell r="E468">
            <v>5.2207733098571498E-7</v>
          </cell>
          <cell r="F468">
            <v>5.1639205991254198E-7</v>
          </cell>
          <cell r="G468">
            <v>5.4649593477165003E-7</v>
          </cell>
          <cell r="H468">
            <v>3.47177529565047E-7</v>
          </cell>
        </row>
        <row r="469">
          <cell r="B469" t="str">
            <v>G-INTC-EXP00-IT</v>
          </cell>
          <cell r="C469" t="str">
            <v>VAR_cap</v>
          </cell>
          <cell r="D469" t="str">
            <v>-</v>
          </cell>
          <cell r="E469">
            <v>3.7499996988687019</v>
          </cell>
          <cell r="F469">
            <v>3.7499994650241257</v>
          </cell>
          <cell r="G469">
            <v>3.7499993314718489</v>
          </cell>
          <cell r="H469">
            <v>3.7499997645168621</v>
          </cell>
        </row>
        <row r="470">
          <cell r="B470" t="str">
            <v>EWOD-CCS</v>
          </cell>
          <cell r="C470" t="str">
            <v>VAR_fin</v>
          </cell>
          <cell r="D470" t="str">
            <v>EWOD</v>
          </cell>
        </row>
        <row r="471">
          <cell r="B471" t="str">
            <v>EOIL-ENG</v>
          </cell>
          <cell r="C471" t="str">
            <v>VAR_fout</v>
          </cell>
          <cell r="D471" t="str">
            <v>ELC35</v>
          </cell>
          <cell r="E471">
            <v>3.960103094555574E-2</v>
          </cell>
          <cell r="F471">
            <v>4.0467292091570133E-5</v>
          </cell>
          <cell r="G471">
            <v>3.9569265600404883E-3</v>
          </cell>
          <cell r="H471">
            <v>2.3315827825481447E-4</v>
          </cell>
        </row>
        <row r="472">
          <cell r="B472" t="str">
            <v>EOIL-ENG</v>
          </cell>
          <cell r="C472" t="str">
            <v>VAR_fout</v>
          </cell>
          <cell r="D472" t="str">
            <v>CO2_E</v>
          </cell>
          <cell r="E472">
            <v>8.4791523402534708</v>
          </cell>
          <cell r="F472">
            <v>5.7823826757825499E-2</v>
          </cell>
          <cell r="G472">
            <v>0.89445883935720405</v>
          </cell>
          <cell r="H472">
            <v>5.8989171990648598E-2</v>
          </cell>
        </row>
        <row r="473">
          <cell r="B473" t="str">
            <v>EOIL-ENG</v>
          </cell>
          <cell r="C473" t="str">
            <v>VAR_fin</v>
          </cell>
          <cell r="D473" t="str">
            <v>ELFO</v>
          </cell>
          <cell r="E473">
            <v>0.1150495568555423</v>
          </cell>
          <cell r="F473">
            <v>7.8458380946845867E-4</v>
          </cell>
          <cell r="G473">
            <v>1.2136483573367761E-2</v>
          </cell>
          <cell r="H473">
            <v>8.0039582076863705E-4</v>
          </cell>
        </row>
        <row r="474">
          <cell r="B474" t="str">
            <v>EOIL-ENG</v>
          </cell>
          <cell r="C474" t="str">
            <v>VAR_ncap</v>
          </cell>
          <cell r="D474" t="str">
            <v>-</v>
          </cell>
          <cell r="F474">
            <v>2.1604719164306202E-6</v>
          </cell>
          <cell r="G474">
            <v>4.1756510618392801E-5</v>
          </cell>
          <cell r="H474">
            <v>8.0179569884006908E-3</v>
          </cell>
        </row>
        <row r="475">
          <cell r="B475" t="str">
            <v>EOIL-ENG</v>
          </cell>
          <cell r="C475" t="str">
            <v>VAR_cap</v>
          </cell>
          <cell r="D475" t="str">
            <v>-</v>
          </cell>
          <cell r="E475">
            <v>1.7740408038023209E-2</v>
          </cell>
          <cell r="F475">
            <v>1.7709049015198347E-2</v>
          </cell>
          <cell r="G475">
            <v>1.069946053958622E-2</v>
          </cell>
          <cell r="H475">
            <v>1.5061168316146473E-2</v>
          </cell>
        </row>
        <row r="476">
          <cell r="B476" t="str">
            <v>D-SWOD</v>
          </cell>
          <cell r="C476" t="str">
            <v>VAR_fout</v>
          </cell>
          <cell r="D476" t="str">
            <v>SWOD</v>
          </cell>
          <cell r="E476">
            <v>8.5743688934399689</v>
          </cell>
          <cell r="F476">
            <v>9.5565744194355364</v>
          </cell>
          <cell r="G476">
            <v>9.1019400082607795</v>
          </cell>
          <cell r="H476">
            <v>9.2582715634484316</v>
          </cell>
        </row>
        <row r="477">
          <cell r="B477" t="str">
            <v>D-SWOD</v>
          </cell>
          <cell r="C477" t="str">
            <v>VAR_fin</v>
          </cell>
          <cell r="D477" t="str">
            <v>WOD</v>
          </cell>
          <cell r="E477">
            <v>8.5743688934399689</v>
          </cell>
          <cell r="F477">
            <v>9.5565744194355364</v>
          </cell>
          <cell r="G477">
            <v>9.1019400082607795</v>
          </cell>
          <cell r="H477">
            <v>9.2582715634484316</v>
          </cell>
        </row>
        <row r="478">
          <cell r="B478" t="str">
            <v>SCOM-CHPWOD</v>
          </cell>
          <cell r="C478" t="str">
            <v>VAR_ncap</v>
          </cell>
          <cell r="D478" t="str">
            <v>-</v>
          </cell>
          <cell r="H478">
            <v>3.4333028508195999E-6</v>
          </cell>
        </row>
        <row r="479">
          <cell r="B479" t="str">
            <v>SCOM-CHPWOD</v>
          </cell>
          <cell r="C479" t="str">
            <v>VAR_cap</v>
          </cell>
          <cell r="D479" t="str">
            <v>-</v>
          </cell>
          <cell r="H479">
            <v>3.4333028508195999E-6</v>
          </cell>
        </row>
        <row r="480">
          <cell r="B480" t="str">
            <v>ENUC_BMGL</v>
          </cell>
          <cell r="C480" t="str">
            <v>VAR_fout</v>
          </cell>
          <cell r="D480" t="str">
            <v>ELC</v>
          </cell>
          <cell r="E480">
            <v>32.820800000020185</v>
          </cell>
          <cell r="F480">
            <v>32.82079891914772</v>
          </cell>
          <cell r="G480">
            <v>32.820798193109368</v>
          </cell>
          <cell r="H480">
            <v>32.820799725090701</v>
          </cell>
        </row>
        <row r="481">
          <cell r="B481" t="str">
            <v>ENUC_BMGL</v>
          </cell>
          <cell r="C481" t="str">
            <v>VAR_fin</v>
          </cell>
          <cell r="D481" t="str">
            <v>URN</v>
          </cell>
          <cell r="E481">
            <v>98.945499406723968</v>
          </cell>
          <cell r="F481">
            <v>98.945496148196739</v>
          </cell>
          <cell r="G481">
            <v>98.945493959395023</v>
          </cell>
          <cell r="H481">
            <v>98.945498577888657</v>
          </cell>
        </row>
        <row r="482">
          <cell r="B482" t="str">
            <v>ENUC_BMGL</v>
          </cell>
          <cell r="C482" t="str">
            <v>VAR_cap</v>
          </cell>
          <cell r="D482" t="str">
            <v>-</v>
          </cell>
          <cell r="E482">
            <v>1.2199999897604308</v>
          </cell>
          <cell r="F482">
            <v>1.2199999791773115</v>
          </cell>
          <cell r="G482">
            <v>1.2199999741078325</v>
          </cell>
          <cell r="H482">
            <v>1.219999989702937</v>
          </cell>
        </row>
        <row r="483">
          <cell r="B483" t="str">
            <v>ENGA-GTOC</v>
          </cell>
          <cell r="C483" t="str">
            <v>VAR_fout</v>
          </cell>
          <cell r="D483" t="str">
            <v>ELC13</v>
          </cell>
        </row>
        <row r="484">
          <cell r="B484" t="str">
            <v>ENGA-GTOC</v>
          </cell>
          <cell r="C484" t="str">
            <v>VAR_fout</v>
          </cell>
          <cell r="D484" t="str">
            <v>CO2_E</v>
          </cell>
        </row>
        <row r="485">
          <cell r="B485" t="str">
            <v>ENGA-GTOC</v>
          </cell>
          <cell r="C485" t="str">
            <v>VAR_fin</v>
          </cell>
          <cell r="D485" t="str">
            <v>ENGA</v>
          </cell>
        </row>
        <row r="486">
          <cell r="B486" t="str">
            <v>ENGA-GTOC</v>
          </cell>
          <cell r="C486" t="str">
            <v>VAR_fin</v>
          </cell>
          <cell r="D486" t="str">
            <v>GTC</v>
          </cell>
        </row>
        <row r="487">
          <cell r="B487" t="str">
            <v>ENGA-GTOC</v>
          </cell>
          <cell r="C487" t="str">
            <v>VAR_ncap</v>
          </cell>
          <cell r="D487" t="str">
            <v>-</v>
          </cell>
        </row>
        <row r="488">
          <cell r="B488" t="str">
            <v>ENGA-GTOC</v>
          </cell>
          <cell r="C488" t="str">
            <v>VAR_cap</v>
          </cell>
          <cell r="D488" t="str">
            <v>-</v>
          </cell>
        </row>
        <row r="489">
          <cell r="B489" t="str">
            <v>D-RWOD</v>
          </cell>
          <cell r="C489" t="str">
            <v>VAR_fout</v>
          </cell>
          <cell r="D489" t="str">
            <v>RWOD</v>
          </cell>
          <cell r="E489">
            <v>13.722996182627357</v>
          </cell>
          <cell r="F489">
            <v>13.882341117139855</v>
          </cell>
          <cell r="G489">
            <v>16.367566608176794</v>
          </cell>
          <cell r="H489">
            <v>15.497554640874373</v>
          </cell>
        </row>
        <row r="490">
          <cell r="B490" t="str">
            <v>D-RWOD</v>
          </cell>
          <cell r="C490" t="str">
            <v>VAR_fin</v>
          </cell>
          <cell r="D490" t="str">
            <v>WOD</v>
          </cell>
          <cell r="E490">
            <v>13.722996182627357</v>
          </cell>
          <cell r="F490">
            <v>13.882341117139855</v>
          </cell>
          <cell r="G490">
            <v>16.367566608176794</v>
          </cell>
          <cell r="H490">
            <v>15.497554640874373</v>
          </cell>
        </row>
        <row r="491">
          <cell r="B491" t="str">
            <v>SCOM-CHPGFC</v>
          </cell>
          <cell r="C491" t="str">
            <v>VAR_ncap</v>
          </cell>
          <cell r="D491" t="str">
            <v>-</v>
          </cell>
          <cell r="H491">
            <v>1.37250391558667E-6</v>
          </cell>
        </row>
        <row r="492">
          <cell r="B492" t="str">
            <v>SCOM-CHPGFC</v>
          </cell>
          <cell r="C492" t="str">
            <v>VAR_cap</v>
          </cell>
          <cell r="D492" t="str">
            <v>-</v>
          </cell>
          <cell r="H492">
            <v>1.37250391558667E-6</v>
          </cell>
        </row>
        <row r="493">
          <cell r="B493" t="str">
            <v>CHPOIL</v>
          </cell>
          <cell r="C493" t="str">
            <v>VAR_fout</v>
          </cell>
          <cell r="D493" t="str">
            <v>ELC35</v>
          </cell>
          <cell r="E493">
            <v>1.8009909297917062E-3</v>
          </cell>
          <cell r="F493">
            <v>4.2907107324721099E-5</v>
          </cell>
          <cell r="G493">
            <v>4.742982662441835E-4</v>
          </cell>
          <cell r="H493">
            <v>1.2521024452642618E-4</v>
          </cell>
        </row>
        <row r="494">
          <cell r="B494" t="str">
            <v>CHPOIL</v>
          </cell>
          <cell r="C494" t="str">
            <v>VAR_fout</v>
          </cell>
          <cell r="D494" t="str">
            <v>LTH</v>
          </cell>
          <cell r="E494">
            <v>9.262239067500188E-3</v>
          </cell>
          <cell r="F494">
            <v>2.2066512338427986E-4</v>
          </cell>
          <cell r="G494">
            <v>2.4392482263986548E-3</v>
          </cell>
          <cell r="H494">
            <v>6.4393840042161995E-4</v>
          </cell>
        </row>
        <row r="495">
          <cell r="B495" t="str">
            <v>CHPOIL</v>
          </cell>
          <cell r="C495" t="str">
            <v>VAR_fout</v>
          </cell>
          <cell r="D495" t="str">
            <v>CO2_E</v>
          </cell>
          <cell r="E495">
            <v>1.3454974176064101</v>
          </cell>
          <cell r="F495">
            <v>7.9424341237520193E-2</v>
          </cell>
          <cell r="G495">
            <v>0.358192838708632</v>
          </cell>
          <cell r="H495">
            <v>9.1507613497885595E-2</v>
          </cell>
        </row>
        <row r="496">
          <cell r="B496" t="str">
            <v>CHPOIL</v>
          </cell>
          <cell r="C496" t="str">
            <v>VAR_fin</v>
          </cell>
          <cell r="D496" t="str">
            <v>ELFO</v>
          </cell>
          <cell r="E496">
            <v>1.8256410008228072E-2</v>
          </cell>
          <cell r="F496">
            <v>1.0776708444711011E-3</v>
          </cell>
          <cell r="G496">
            <v>4.8601470652460208E-3</v>
          </cell>
          <cell r="H496">
            <v>1.2416229782616767E-3</v>
          </cell>
        </row>
        <row r="497">
          <cell r="B497" t="str">
            <v>CHPOIL</v>
          </cell>
          <cell r="C497" t="str">
            <v>VAR_ncap</v>
          </cell>
          <cell r="D497" t="str">
            <v>-</v>
          </cell>
          <cell r="F497">
            <v>4.01678452575365E-7</v>
          </cell>
          <cell r="G497">
            <v>4.3055743559194101E-7</v>
          </cell>
          <cell r="H497">
            <v>5.0150988235647799E-7</v>
          </cell>
        </row>
        <row r="498">
          <cell r="B498" t="str">
            <v>CHPOIL</v>
          </cell>
          <cell r="C498" t="str">
            <v>VAR_cap</v>
          </cell>
          <cell r="D498" t="str">
            <v>-</v>
          </cell>
          <cell r="E498">
            <v>1.3779547072016105E-3</v>
          </cell>
          <cell r="F498">
            <v>3.0197636330717668E-4</v>
          </cell>
          <cell r="G498">
            <v>2.832903513590463E-4</v>
          </cell>
          <cell r="H498">
            <v>2.0645003532958339E-4</v>
          </cell>
        </row>
        <row r="499">
          <cell r="B499" t="str">
            <v>ITOT-ESOLPV</v>
          </cell>
          <cell r="C499" t="str">
            <v>VAR_fout</v>
          </cell>
          <cell r="D499" t="str">
            <v>ITOT_SOL_ELC</v>
          </cell>
          <cell r="E499">
            <v>3.517953999707534</v>
          </cell>
          <cell r="F499">
            <v>4.8486222706482938</v>
          </cell>
          <cell r="G499">
            <v>11.161492733716585</v>
          </cell>
          <cell r="H499">
            <v>19.477109007315924</v>
          </cell>
        </row>
        <row r="500">
          <cell r="B500" t="str">
            <v>ITOT-ESOLPV</v>
          </cell>
          <cell r="C500" t="str">
            <v>VAR_fin</v>
          </cell>
          <cell r="D500" t="str">
            <v>SOL</v>
          </cell>
          <cell r="E500">
            <v>3.517953999707534</v>
          </cell>
          <cell r="F500">
            <v>4.8486222706482938</v>
          </cell>
          <cell r="G500">
            <v>11.161492733716585</v>
          </cell>
          <cell r="H500">
            <v>19.477109007315924</v>
          </cell>
        </row>
        <row r="501">
          <cell r="B501" t="str">
            <v>ITOT-ESOLPV</v>
          </cell>
          <cell r="C501" t="str">
            <v>VAR_fin</v>
          </cell>
          <cell r="D501" t="str">
            <v>SOLPVC</v>
          </cell>
          <cell r="E501">
            <v>3.51795399970753</v>
          </cell>
          <cell r="F501">
            <v>4.8486222706482902</v>
          </cell>
          <cell r="G501">
            <v>11.161492733716599</v>
          </cell>
          <cell r="H501">
            <v>19.477109007315899</v>
          </cell>
        </row>
        <row r="502">
          <cell r="B502" t="str">
            <v>ITOT-ESOLPV</v>
          </cell>
          <cell r="C502" t="str">
            <v>VAR_ncap</v>
          </cell>
          <cell r="D502" t="str">
            <v>-</v>
          </cell>
          <cell r="F502">
            <v>1.78587344204381E-8</v>
          </cell>
          <cell r="G502">
            <v>1.7679648698347199</v>
          </cell>
          <cell r="H502">
            <v>2.1224130459936799</v>
          </cell>
        </row>
        <row r="503">
          <cell r="B503" t="str">
            <v>ITOT-ESOLPV</v>
          </cell>
          <cell r="C503" t="str">
            <v>VAR_cap</v>
          </cell>
          <cell r="D503" t="str">
            <v>-</v>
          </cell>
          <cell r="E503">
            <v>1.1186210000000001</v>
          </cell>
          <cell r="F503">
            <v>1.6529270324457845</v>
          </cell>
          <cell r="G503">
            <v>3.5611858876934601</v>
          </cell>
          <cell r="H503">
            <v>5.6146830368830303</v>
          </cell>
        </row>
        <row r="504">
          <cell r="B504" t="str">
            <v>RHNS-CHPNGA</v>
          </cell>
          <cell r="C504" t="str">
            <v>VAR_fout</v>
          </cell>
          <cell r="D504" t="str">
            <v>CO2_R</v>
          </cell>
          <cell r="F504">
            <v>8.0318402226472296E-2</v>
          </cell>
          <cell r="G504">
            <v>0.125045556235415</v>
          </cell>
        </row>
        <row r="505">
          <cell r="B505" t="str">
            <v>RHNS-CHPNGA</v>
          </cell>
          <cell r="C505" t="str">
            <v>VAR_fout</v>
          </cell>
          <cell r="D505" t="str">
            <v>RHNS_LTH_CHPNGA</v>
          </cell>
          <cell r="F505">
            <v>9.0757549573672964E-4</v>
          </cell>
          <cell r="G505">
            <v>9.5452959077737144E-4</v>
          </cell>
        </row>
        <row r="506">
          <cell r="B506" t="str">
            <v>RHNS-CHPNGA</v>
          </cell>
          <cell r="C506" t="str">
            <v>VAR_fout</v>
          </cell>
          <cell r="D506" t="str">
            <v>RHNS_NKEV_GAS_ELC_CHP</v>
          </cell>
          <cell r="F506">
            <v>3.8084318093748192E-4</v>
          </cell>
          <cell r="G506">
            <v>4.0677811196600429E-4</v>
          </cell>
        </row>
        <row r="507">
          <cell r="B507" t="str">
            <v>RHNS-CHPNGA</v>
          </cell>
          <cell r="C507" t="str">
            <v>VAR_fin</v>
          </cell>
          <cell r="D507" t="str">
            <v>RNGA</v>
          </cell>
          <cell r="F507">
            <v>1.4240851458594379E-3</v>
          </cell>
          <cell r="G507">
            <v>2.217119791408068E-3</v>
          </cell>
        </row>
        <row r="508">
          <cell r="B508" t="str">
            <v>RHNS-CHPNGA</v>
          </cell>
          <cell r="C508" t="str">
            <v>VAR_ncap</v>
          </cell>
          <cell r="D508" t="str">
            <v>-</v>
          </cell>
          <cell r="F508">
            <v>3.6120853892342E-5</v>
          </cell>
          <cell r="G508">
            <v>7.3288394503681605E-8</v>
          </cell>
        </row>
        <row r="509">
          <cell r="B509" t="str">
            <v>RHNS-CHPNGA</v>
          </cell>
          <cell r="C509" t="str">
            <v>VAR_cap</v>
          </cell>
          <cell r="D509" t="str">
            <v>-</v>
          </cell>
          <cell r="F509">
            <v>3.6120853892342E-5</v>
          </cell>
          <cell r="G509">
            <v>3.6194142286845703E-5</v>
          </cell>
          <cell r="H509">
            <v>3.6150894245276533E-5</v>
          </cell>
        </row>
        <row r="510">
          <cell r="B510" t="str">
            <v>ENUC_BEZ</v>
          </cell>
          <cell r="C510" t="str">
            <v>VAR_fout</v>
          </cell>
          <cell r="D510" t="str">
            <v>ELC</v>
          </cell>
          <cell r="E510">
            <v>20.22480014624665</v>
          </cell>
          <cell r="F510">
            <v>20.224798173763752</v>
          </cell>
          <cell r="G510">
            <v>13.566718274301659</v>
          </cell>
          <cell r="H510">
            <v>7.3992088913719263</v>
          </cell>
        </row>
        <row r="511">
          <cell r="B511" t="str">
            <v>ENUC_BEZ</v>
          </cell>
          <cell r="C511" t="str">
            <v>VAR_fin</v>
          </cell>
          <cell r="D511" t="str">
            <v>URN</v>
          </cell>
          <cell r="E511">
            <v>60.97209546599499</v>
          </cell>
          <cell r="F511">
            <v>60.972089519512672</v>
          </cell>
          <cell r="G511">
            <v>40.899847504030362</v>
          </cell>
          <cell r="H511">
            <v>22.306537895816589</v>
          </cell>
        </row>
        <row r="512">
          <cell r="B512" t="str">
            <v>ENUC_BEZ</v>
          </cell>
          <cell r="C512" t="str">
            <v>VAR_cap</v>
          </cell>
          <cell r="D512" t="str">
            <v>-</v>
          </cell>
          <cell r="E512">
            <v>0.72999998993306581</v>
          </cell>
          <cell r="F512">
            <v>0.72999994983773575</v>
          </cell>
          <cell r="G512">
            <v>0.48968283846205068</v>
          </cell>
          <cell r="H512">
            <v>0.26706928500520011</v>
          </cell>
        </row>
        <row r="513">
          <cell r="B513" t="str">
            <v>RHNM-CHPWOD</v>
          </cell>
          <cell r="C513" t="str">
            <v>VAR_ncap</v>
          </cell>
          <cell r="D513" t="str">
            <v>-</v>
          </cell>
          <cell r="H513">
            <v>1.61261763117056E-6</v>
          </cell>
        </row>
        <row r="514">
          <cell r="B514" t="str">
            <v>RHNM-CHPWOD</v>
          </cell>
          <cell r="C514" t="str">
            <v>VAR_cap</v>
          </cell>
          <cell r="D514" t="str">
            <v>-</v>
          </cell>
          <cell r="H514">
            <v>1.61261763117056E-6</v>
          </cell>
        </row>
        <row r="515">
          <cell r="B515" t="str">
            <v>RHNM-SHSTG-CHPNGA</v>
          </cell>
          <cell r="C515" t="str">
            <v>VAR_fout</v>
          </cell>
          <cell r="D515" t="str">
            <v>AUX_RNM-CHPNGA_OUT</v>
          </cell>
          <cell r="E515">
            <v>1.2413692714280199E-4</v>
          </cell>
          <cell r="F515">
            <v>1.0972031489961841E-4</v>
          </cell>
          <cell r="G515">
            <v>1.0042327077803368E-3</v>
          </cell>
          <cell r="H515">
            <v>5.6697895541992569E-5</v>
          </cell>
        </row>
        <row r="516">
          <cell r="B516" t="str">
            <v>RHNM-SHSTG-CHPNGA</v>
          </cell>
          <cell r="C516" t="str">
            <v>VAR_fout</v>
          </cell>
          <cell r="D516" t="str">
            <v>RHNM_LTH_CHPNGA</v>
          </cell>
          <cell r="E516">
            <v>1.2413692714280172E-4</v>
          </cell>
          <cell r="F516">
            <v>1.0979346177621804E-4</v>
          </cell>
          <cell r="G516">
            <v>1.0052787835176072E-3</v>
          </cell>
          <cell r="H516">
            <v>5.6697895541992569E-5</v>
          </cell>
        </row>
        <row r="517">
          <cell r="B517" t="str">
            <v>RHNM-SHSTG-CHPNGA</v>
          </cell>
          <cell r="C517" t="str">
            <v>VAR_fin</v>
          </cell>
          <cell r="D517" t="str">
            <v>AUX_RNM-CHPNGA_IN</v>
          </cell>
          <cell r="E517">
            <v>9.8789207157220352E-5</v>
          </cell>
          <cell r="F517">
            <v>1.4284807293989414E-4</v>
          </cell>
          <cell r="G517">
            <v>1.295647428420916E-3</v>
          </cell>
          <cell r="H517">
            <v>4.3541418359527646E-5</v>
          </cell>
        </row>
        <row r="518">
          <cell r="B518" t="str">
            <v>RHNM-SHSTG-CHPNGA</v>
          </cell>
          <cell r="C518" t="str">
            <v>VAR_fin</v>
          </cell>
          <cell r="D518" t="str">
            <v>RHNM_LTH_CHPNGA</v>
          </cell>
          <cell r="E518">
            <v>9.8789207157220352E-5</v>
          </cell>
          <cell r="F518">
            <v>1.4284807293989414E-4</v>
          </cell>
          <cell r="G518">
            <v>1.295647428420916E-3</v>
          </cell>
          <cell r="H518">
            <v>4.3541418359527646E-5</v>
          </cell>
        </row>
        <row r="519">
          <cell r="B519" t="str">
            <v>RHNM-SHSTG-CHPNGA</v>
          </cell>
          <cell r="C519" t="str">
            <v>VAR_ncap</v>
          </cell>
          <cell r="D519" t="str">
            <v>-</v>
          </cell>
          <cell r="E519">
            <v>7.9756344533812699E-4</v>
          </cell>
          <cell r="F519">
            <v>2.2046612900130799E-5</v>
          </cell>
          <cell r="G519">
            <v>1.2795798554823601E-5</v>
          </cell>
          <cell r="H519">
            <v>6.3769236330443502E-6</v>
          </cell>
        </row>
        <row r="520">
          <cell r="B520" t="str">
            <v>RHNM-SHSTG-CHPNGA</v>
          </cell>
          <cell r="C520" t="str">
            <v>VAR_cap</v>
          </cell>
          <cell r="D520" t="str">
            <v>-</v>
          </cell>
          <cell r="E520">
            <v>7.9756344533812699E-4</v>
          </cell>
          <cell r="F520">
            <v>8.1825222805033491E-4</v>
          </cell>
          <cell r="G520">
            <v>8.2643545618979746E-4</v>
          </cell>
          <cell r="H520">
            <v>8.0237530208415459E-4</v>
          </cell>
        </row>
        <row r="521">
          <cell r="B521" t="str">
            <v>CT_CWODBDS</v>
          </cell>
          <cell r="C521" t="str">
            <v>VAR_fout</v>
          </cell>
          <cell r="D521" t="str">
            <v>BDS</v>
          </cell>
          <cell r="E521">
            <v>0.64505964940675253</v>
          </cell>
          <cell r="F521">
            <v>0.63725221790630937</v>
          </cell>
          <cell r="G521">
            <v>1.2038229470264161</v>
          </cell>
          <cell r="H521">
            <v>4.0322246870264504E-5</v>
          </cell>
        </row>
        <row r="522">
          <cell r="B522" t="str">
            <v>CT_CWODBDS</v>
          </cell>
          <cell r="C522" t="str">
            <v>VAR_fout</v>
          </cell>
          <cell r="D522" t="str">
            <v>LTH</v>
          </cell>
          <cell r="E522">
            <v>0.251573263268633</v>
          </cell>
          <cell r="F522">
            <v>0.24852836498346009</v>
          </cell>
          <cell r="G522">
            <v>0.46949094934030172</v>
          </cell>
          <cell r="H522">
            <v>1.5725676279403134E-5</v>
          </cell>
        </row>
        <row r="523">
          <cell r="B523" t="str">
            <v>CT_CWODBDS</v>
          </cell>
          <cell r="C523" t="str">
            <v>VAR_fin</v>
          </cell>
          <cell r="D523" t="str">
            <v>CWOD</v>
          </cell>
          <cell r="E523">
            <v>1.8380974709845401</v>
          </cell>
          <cell r="F523">
            <v>1.8158501949240275</v>
          </cell>
          <cell r="G523">
            <v>3.4302934875517743</v>
          </cell>
          <cell r="H523">
            <v>1.1489824245681863E-4</v>
          </cell>
        </row>
        <row r="524">
          <cell r="B524" t="str">
            <v>CT_CWODBDS</v>
          </cell>
          <cell r="C524" t="str">
            <v>VAR_fin</v>
          </cell>
          <cell r="D524" t="str">
            <v>CELC</v>
          </cell>
          <cell r="E524">
            <v>4.4831645633769304E-2</v>
          </cell>
          <cell r="F524">
            <v>4.4289029144488491E-2</v>
          </cell>
          <cell r="G524">
            <v>8.3665694818335967E-2</v>
          </cell>
          <cell r="H524">
            <v>2.8023961574833818E-6</v>
          </cell>
        </row>
        <row r="525">
          <cell r="B525" t="str">
            <v>CT_CWODBDS</v>
          </cell>
          <cell r="C525" t="str">
            <v>VAR_ncap</v>
          </cell>
          <cell r="D525" t="str">
            <v>-</v>
          </cell>
          <cell r="E525">
            <v>1.09919795965141E-7</v>
          </cell>
          <cell r="F525">
            <v>1.21079487461607E-7</v>
          </cell>
          <cell r="G525">
            <v>1.15720917114841E-5</v>
          </cell>
          <cell r="H525">
            <v>3.6016592608504697E-8</v>
          </cell>
        </row>
        <row r="526">
          <cell r="B526" t="str">
            <v>CT_CWODBDS</v>
          </cell>
          <cell r="C526" t="str">
            <v>VAR_cap</v>
          </cell>
          <cell r="D526" t="str">
            <v>-</v>
          </cell>
          <cell r="E526">
            <v>6.2412360827987817E-2</v>
          </cell>
          <cell r="F526">
            <v>6.2412466331608733E-2</v>
          </cell>
          <cell r="G526">
            <v>6.2424026286440948E-2</v>
          </cell>
          <cell r="H526">
            <v>1.4085897002517889E-5</v>
          </cell>
        </row>
        <row r="527">
          <cell r="B527" t="str">
            <v>RHNS-EBAT</v>
          </cell>
          <cell r="C527" t="str">
            <v>VAR_fout</v>
          </cell>
          <cell r="D527" t="str">
            <v>RHNS_ELC</v>
          </cell>
          <cell r="E527">
            <v>3.9346720291701169E-4</v>
          </cell>
          <cell r="F527">
            <v>3.9099006674601385E-4</v>
          </cell>
          <cell r="G527">
            <v>0.10002961539695707</v>
          </cell>
          <cell r="H527">
            <v>4.3960727774019395E-2</v>
          </cell>
        </row>
        <row r="528">
          <cell r="B528" t="str">
            <v>RHNS-EBAT</v>
          </cell>
          <cell r="C528" t="str">
            <v>VAR_fout</v>
          </cell>
          <cell r="D528" t="str">
            <v>AUX_RHNS-EBAT_OUT</v>
          </cell>
          <cell r="E528">
            <v>3.9346720291701229E-4</v>
          </cell>
          <cell r="F528">
            <v>3.9099006674601445E-4</v>
          </cell>
          <cell r="G528">
            <v>0.10002961539695712</v>
          </cell>
          <cell r="H528">
            <v>4.396072777401943E-2</v>
          </cell>
        </row>
        <row r="529">
          <cell r="B529" t="str">
            <v>RHNS-EBAT</v>
          </cell>
          <cell r="C529" t="str">
            <v>VAR_fin</v>
          </cell>
          <cell r="D529" t="str">
            <v>RHNS_ELC</v>
          </cell>
          <cell r="E529">
            <v>4.3842482999617577E-4</v>
          </cell>
          <cell r="F529">
            <v>4.3499640420584836E-4</v>
          </cell>
          <cell r="G529">
            <v>0.11061955703024512</v>
          </cell>
          <cell r="H529">
            <v>4.8614938660434016E-2</v>
          </cell>
        </row>
        <row r="530">
          <cell r="B530" t="str">
            <v>RHNS-EBAT</v>
          </cell>
          <cell r="C530" t="str">
            <v>VAR_fin</v>
          </cell>
          <cell r="D530" t="str">
            <v>AUX_RHNS-EBAT_IN</v>
          </cell>
          <cell r="E530">
            <v>4.3842482999617577E-4</v>
          </cell>
          <cell r="F530">
            <v>4.3499640420584836E-4</v>
          </cell>
          <cell r="G530">
            <v>0.11061955703024512</v>
          </cell>
          <cell r="H530">
            <v>4.8614938660434016E-2</v>
          </cell>
        </row>
        <row r="531">
          <cell r="B531" t="str">
            <v>RHNS-EBAT</v>
          </cell>
          <cell r="C531" t="str">
            <v>VAR_ncap</v>
          </cell>
          <cell r="D531" t="str">
            <v>-</v>
          </cell>
          <cell r="E531">
            <v>1.57429689037005E-4</v>
          </cell>
          <cell r="F531">
            <v>2.5855731421293498E-7</v>
          </cell>
          <cell r="G531">
            <v>6.3851579306892003E-2</v>
          </cell>
          <cell r="H531">
            <v>3.4935568315669103E-4</v>
          </cell>
        </row>
        <row r="532">
          <cell r="B532" t="str">
            <v>RHNS-EBAT</v>
          </cell>
          <cell r="C532" t="str">
            <v>VAR_cap</v>
          </cell>
          <cell r="D532" t="str">
            <v>-</v>
          </cell>
          <cell r="E532">
            <v>1.6016931408439149E-4</v>
          </cell>
          <cell r="F532">
            <v>1.6036037861958679E-4</v>
          </cell>
          <cell r="G532">
            <v>6.4011810827934848E-2</v>
          </cell>
          <cell r="H532">
            <v>6.4316186851070836E-2</v>
          </cell>
        </row>
        <row r="533">
          <cell r="B533" t="str">
            <v>G-INTC-EXP00-AT</v>
          </cell>
          <cell r="C533" t="str">
            <v>VAR_fout</v>
          </cell>
          <cell r="D533" t="str">
            <v>ELC_E-AT</v>
          </cell>
          <cell r="E533">
            <v>6.2295572283639959</v>
          </cell>
          <cell r="F533">
            <v>2.1183212872880283E-4</v>
          </cell>
          <cell r="G533">
            <v>2.8078314982271364E-4</v>
          </cell>
          <cell r="H533">
            <v>4.9032527210814143E-5</v>
          </cell>
        </row>
        <row r="534">
          <cell r="B534" t="str">
            <v>G-INTC-EXP00-AT</v>
          </cell>
          <cell r="C534" t="str">
            <v>VAR_fin</v>
          </cell>
          <cell r="D534" t="str">
            <v>ELC</v>
          </cell>
          <cell r="E534">
            <v>6.2295572283639959</v>
          </cell>
          <cell r="F534">
            <v>2.1183212872880283E-4</v>
          </cell>
          <cell r="G534">
            <v>2.8078314982271364E-4</v>
          </cell>
          <cell r="H534">
            <v>4.9032527210814143E-5</v>
          </cell>
        </row>
        <row r="535">
          <cell r="B535" t="str">
            <v>G-INTC-EXP00-AT</v>
          </cell>
          <cell r="C535" t="str">
            <v>VAR_ncap</v>
          </cell>
          <cell r="D535" t="str">
            <v>-</v>
          </cell>
          <cell r="E535">
            <v>9.8403073034703401E-8</v>
          </cell>
          <cell r="F535">
            <v>9.1382368841880501E-8</v>
          </cell>
          <cell r="G535">
            <v>1.1446944097544499E-7</v>
          </cell>
          <cell r="H535">
            <v>1.2599836106297801E-7</v>
          </cell>
        </row>
        <row r="536">
          <cell r="B536" t="str">
            <v>G-INTC-EXP00-AT</v>
          </cell>
          <cell r="C536" t="str">
            <v>VAR_cap</v>
          </cell>
          <cell r="D536" t="str">
            <v>-</v>
          </cell>
          <cell r="E536">
            <v>0.23416071955727891</v>
          </cell>
          <cell r="F536">
            <v>1.3780590624001832E-4</v>
          </cell>
          <cell r="G536">
            <v>1.3667993005994639E-4</v>
          </cell>
          <cell r="H536">
            <v>1.3622862821871529E-4</v>
          </cell>
        </row>
        <row r="537">
          <cell r="B537" t="str">
            <v>G-INTC-IMP00-DE</v>
          </cell>
          <cell r="C537" t="str">
            <v>VAR_fout</v>
          </cell>
          <cell r="D537" t="str">
            <v>ELC</v>
          </cell>
          <cell r="E537">
            <v>46.398476122575623</v>
          </cell>
          <cell r="F537">
            <v>33.019061856164996</v>
          </cell>
          <cell r="G537">
            <v>29.165457970151063</v>
          </cell>
          <cell r="H537">
            <v>35.902209239879461</v>
          </cell>
        </row>
        <row r="538">
          <cell r="B538" t="str">
            <v>G-INTC-IMP00-DE</v>
          </cell>
          <cell r="C538" t="str">
            <v>VAR_fin</v>
          </cell>
          <cell r="D538" t="str">
            <v>ELC_I-DE</v>
          </cell>
          <cell r="E538">
            <v>46.398476122575623</v>
          </cell>
          <cell r="F538">
            <v>33.019061856164996</v>
          </cell>
          <cell r="G538">
            <v>29.165457970151063</v>
          </cell>
          <cell r="H538">
            <v>35.902209239879461</v>
          </cell>
        </row>
        <row r="539">
          <cell r="B539" t="str">
            <v>G-INTC-IMP00-DE</v>
          </cell>
          <cell r="C539" t="str">
            <v>VAR_ncap</v>
          </cell>
          <cell r="D539" t="str">
            <v>-</v>
          </cell>
          <cell r="E539">
            <v>3.4602536022424402E-7</v>
          </cell>
          <cell r="F539">
            <v>3.3427905192243799E-7</v>
          </cell>
          <cell r="G539">
            <v>3.9125673213298902E-7</v>
          </cell>
          <cell r="H539">
            <v>3.5218812305047099E-7</v>
          </cell>
        </row>
        <row r="540">
          <cell r="B540" t="str">
            <v>G-INTC-IMP00-DE</v>
          </cell>
          <cell r="C540" t="str">
            <v>VAR_cap</v>
          </cell>
          <cell r="D540" t="str">
            <v>-</v>
          </cell>
          <cell r="E540">
            <v>2.4000041106986103</v>
          </cell>
          <cell r="F540">
            <v>2.4000007255119602</v>
          </cell>
          <cell r="G540">
            <v>2.4000001817186805</v>
          </cell>
          <cell r="H540">
            <v>2.4000000846250193</v>
          </cell>
        </row>
        <row r="541">
          <cell r="B541" t="str">
            <v>RHEM-SHSTG-CHPWOD</v>
          </cell>
          <cell r="C541" t="str">
            <v>VAR_fout</v>
          </cell>
          <cell r="D541" t="str">
            <v>AUX_REM-CHPWOD_OUT</v>
          </cell>
          <cell r="E541">
            <v>1.2413415840300998E-4</v>
          </cell>
          <cell r="F541">
            <v>6.140171953979361E-5</v>
          </cell>
          <cell r="G541">
            <v>2.923160094020461E-5</v>
          </cell>
          <cell r="H541">
            <v>5.6697917028341856E-5</v>
          </cell>
        </row>
        <row r="542">
          <cell r="B542" t="str">
            <v>RHEM-SHSTG-CHPWOD</v>
          </cell>
          <cell r="C542" t="str">
            <v>VAR_fout</v>
          </cell>
          <cell r="D542" t="str">
            <v>RHEM_LTH_CHPWOD</v>
          </cell>
          <cell r="E542">
            <v>1.2413415840300976E-4</v>
          </cell>
          <cell r="F542">
            <v>6.1442654019486652E-5</v>
          </cell>
          <cell r="G542">
            <v>2.9262050524517288E-5</v>
          </cell>
          <cell r="H542">
            <v>5.6697917028341856E-5</v>
          </cell>
        </row>
        <row r="543">
          <cell r="B543" t="str">
            <v>RHEM-SHSTG-CHPWOD</v>
          </cell>
          <cell r="C543" t="str">
            <v>VAR_fin</v>
          </cell>
          <cell r="D543" t="str">
            <v>AUX_REM-CHPWOD_IN</v>
          </cell>
          <cell r="E543">
            <v>9.8785515504157032E-5</v>
          </cell>
          <cell r="F543">
            <v>3.9556838093923124E-5</v>
          </cell>
          <cell r="G543">
            <v>2.3456675904064987E-5</v>
          </cell>
          <cell r="H543">
            <v>4.3541445217504589E-5</v>
          </cell>
        </row>
        <row r="544">
          <cell r="B544" t="str">
            <v>RHEM-SHSTG-CHPWOD</v>
          </cell>
          <cell r="C544" t="str">
            <v>VAR_fin</v>
          </cell>
          <cell r="D544" t="str">
            <v>RHEM_LTH_CHPWOD</v>
          </cell>
          <cell r="E544">
            <v>9.8785515504157032E-5</v>
          </cell>
          <cell r="F544">
            <v>3.9556838093923124E-5</v>
          </cell>
          <cell r="G544">
            <v>2.3456675904064987E-5</v>
          </cell>
          <cell r="H544">
            <v>4.3541445217504589E-5</v>
          </cell>
        </row>
        <row r="545">
          <cell r="B545" t="str">
            <v>RHEM-SHSTG-CHPWOD</v>
          </cell>
          <cell r="C545" t="str">
            <v>VAR_ncap</v>
          </cell>
          <cell r="D545" t="str">
            <v>-</v>
          </cell>
          <cell r="E545">
            <v>5.5446540649888802E-4</v>
          </cell>
          <cell r="F545">
            <v>1.25738862311045E-5</v>
          </cell>
          <cell r="G545">
            <v>1.2459877057783899E-5</v>
          </cell>
          <cell r="H545">
            <v>8.4168623507931996E-6</v>
          </cell>
        </row>
        <row r="546">
          <cell r="B546" t="str">
            <v>RHEM-SHSTG-CHPWOD</v>
          </cell>
          <cell r="C546" t="str">
            <v>VAR_cap</v>
          </cell>
          <cell r="D546" t="str">
            <v>-</v>
          </cell>
          <cell r="E546">
            <v>5.5446540649888802E-4</v>
          </cell>
          <cell r="F546">
            <v>5.6532014487014151E-4</v>
          </cell>
          <cell r="G546">
            <v>5.7247413960764338E-4</v>
          </cell>
          <cell r="H546">
            <v>5.685153264825784E-4</v>
          </cell>
        </row>
        <row r="547">
          <cell r="B547" t="str">
            <v>RHNM-CHPGFC</v>
          </cell>
          <cell r="C547" t="str">
            <v>VAR_ncap</v>
          </cell>
          <cell r="D547" t="str">
            <v>-</v>
          </cell>
          <cell r="H547">
            <v>1.35763735471753E-6</v>
          </cell>
        </row>
        <row r="548">
          <cell r="B548" t="str">
            <v>RHNM-CHPGFC</v>
          </cell>
          <cell r="C548" t="str">
            <v>VAR_cap</v>
          </cell>
          <cell r="D548" t="str">
            <v>-</v>
          </cell>
          <cell r="H548">
            <v>1.35763735471753E-6</v>
          </cell>
        </row>
        <row r="549">
          <cell r="B549" t="str">
            <v>G-INTC-EXP00-FR</v>
          </cell>
          <cell r="C549" t="str">
            <v>VAR_fout</v>
          </cell>
          <cell r="D549" t="str">
            <v>ELC_E-FR</v>
          </cell>
          <cell r="E549">
            <v>12.75336069494074</v>
          </cell>
          <cell r="F549">
            <v>2.1015038260549732E-4</v>
          </cell>
          <cell r="G549">
            <v>2.2830026798602564E-4</v>
          </cell>
          <cell r="H549">
            <v>1.070566004915412E-4</v>
          </cell>
        </row>
        <row r="550">
          <cell r="B550" t="str">
            <v>G-INTC-EXP00-FR</v>
          </cell>
          <cell r="C550" t="str">
            <v>VAR_fin</v>
          </cell>
          <cell r="D550" t="str">
            <v>ELC</v>
          </cell>
          <cell r="E550">
            <v>12.75336069494074</v>
          </cell>
          <cell r="F550">
            <v>2.1015038260549732E-4</v>
          </cell>
          <cell r="G550">
            <v>2.2830026798602564E-4</v>
          </cell>
          <cell r="H550">
            <v>1.070566004915412E-4</v>
          </cell>
        </row>
        <row r="551">
          <cell r="B551" t="str">
            <v>G-INTC-EXP00-FR</v>
          </cell>
          <cell r="C551" t="str">
            <v>VAR_ncap</v>
          </cell>
          <cell r="D551" t="str">
            <v>-</v>
          </cell>
          <cell r="E551">
            <v>3.4912599983539302E-7</v>
          </cell>
          <cell r="F551">
            <v>3.2013598874188599E-7</v>
          </cell>
          <cell r="G551">
            <v>4.7148083185326799E-7</v>
          </cell>
          <cell r="H551">
            <v>1.0951546663173599E-6</v>
          </cell>
        </row>
        <row r="552">
          <cell r="B552" t="str">
            <v>G-INTC-EXP00-FR</v>
          </cell>
          <cell r="C552" t="str">
            <v>VAR_cap</v>
          </cell>
          <cell r="D552" t="str">
            <v>-</v>
          </cell>
          <cell r="E552">
            <v>1.2999985719166771</v>
          </cell>
          <cell r="F552">
            <v>8.0148607922003734E-4</v>
          </cell>
          <cell r="G552">
            <v>8.0089365000013402E-4</v>
          </cell>
          <cell r="H552">
            <v>8.0116472459179633E-4</v>
          </cell>
        </row>
        <row r="553">
          <cell r="B553" t="str">
            <v>RHNM-EBAT</v>
          </cell>
          <cell r="C553" t="str">
            <v>VAR_fout</v>
          </cell>
          <cell r="D553" t="str">
            <v>RHNM_ELC</v>
          </cell>
          <cell r="E553">
            <v>3.8593472667009394E-4</v>
          </cell>
          <cell r="F553">
            <v>3.8347932338379158E-4</v>
          </cell>
          <cell r="G553">
            <v>3.0692772839285318E-2</v>
          </cell>
          <cell r="H553">
            <v>1.5902121565544453E-2</v>
          </cell>
        </row>
        <row r="554">
          <cell r="B554" t="str">
            <v>RHNM-EBAT</v>
          </cell>
          <cell r="C554" t="str">
            <v>VAR_fout</v>
          </cell>
          <cell r="D554" t="str">
            <v>AUX_RHNM-EBAT_OUT</v>
          </cell>
          <cell r="E554">
            <v>3.8593472667009432E-4</v>
          </cell>
          <cell r="F554">
            <v>3.8347932338379212E-4</v>
          </cell>
          <cell r="G554">
            <v>3.069277283928535E-2</v>
          </cell>
          <cell r="H554">
            <v>1.5902121565544471E-2</v>
          </cell>
        </row>
        <row r="555">
          <cell r="B555" t="str">
            <v>RHNM-EBAT</v>
          </cell>
          <cell r="C555" t="str">
            <v>VAR_fin</v>
          </cell>
          <cell r="D555" t="str">
            <v>RHNM_ELC</v>
          </cell>
          <cell r="E555">
            <v>4.3009492968527435E-4</v>
          </cell>
          <cell r="F555">
            <v>4.2669053752705929E-4</v>
          </cell>
          <cell r="G555">
            <v>3.3942241912874663E-2</v>
          </cell>
          <cell r="H555">
            <v>1.758588942396945E-2</v>
          </cell>
        </row>
        <row r="556">
          <cell r="B556" t="str">
            <v>RHNM-EBAT</v>
          </cell>
          <cell r="C556" t="str">
            <v>VAR_fin</v>
          </cell>
          <cell r="D556" t="str">
            <v>AUX_RHNM-EBAT_IN</v>
          </cell>
          <cell r="E556">
            <v>4.3009492968527435E-4</v>
          </cell>
          <cell r="F556">
            <v>4.2669053752705929E-4</v>
          </cell>
          <cell r="G556">
            <v>3.3942241912874663E-2</v>
          </cell>
          <cell r="H556">
            <v>1.758588942396945E-2</v>
          </cell>
        </row>
        <row r="557">
          <cell r="B557" t="str">
            <v>RHNM-EBAT</v>
          </cell>
          <cell r="C557" t="str">
            <v>VAR_ncap</v>
          </cell>
          <cell r="D557" t="str">
            <v>-</v>
          </cell>
          <cell r="E557">
            <v>1.54348678830845E-4</v>
          </cell>
          <cell r="F557">
            <v>2.5441500246921999E-7</v>
          </cell>
          <cell r="G557">
            <v>1.8959765863210701E-2</v>
          </cell>
          <cell r="H557">
            <v>6.0507953755530703E-4</v>
          </cell>
        </row>
        <row r="558">
          <cell r="B558" t="str">
            <v>RHNM-EBAT</v>
          </cell>
          <cell r="C558" t="str">
            <v>VAR_cap</v>
          </cell>
          <cell r="D558" t="str">
            <v>-</v>
          </cell>
          <cell r="E558">
            <v>1.5708831694842486E-4</v>
          </cell>
          <cell r="F558">
            <v>1.5727617501320527E-4</v>
          </cell>
          <cell r="G558">
            <v>1.9116908431794463E-2</v>
          </cell>
          <cell r="H558">
            <v>1.9677837466830165E-2</v>
          </cell>
        </row>
        <row r="559">
          <cell r="B559" t="str">
            <v>ITOT-CHPWST</v>
          </cell>
          <cell r="C559" t="str">
            <v>VAR_fout</v>
          </cell>
          <cell r="D559" t="str">
            <v>ITOT_LTH_CHP</v>
          </cell>
          <cell r="E559">
            <v>1.9348222656546448</v>
          </cell>
          <cell r="F559">
            <v>1.8587705616024293</v>
          </cell>
          <cell r="G559">
            <v>2.2411526409390576E-3</v>
          </cell>
          <cell r="H559">
            <v>1.7782842889798008E-3</v>
          </cell>
        </row>
        <row r="560">
          <cell r="B560" t="str">
            <v>ITOT-CHPWST</v>
          </cell>
          <cell r="C560" t="str">
            <v>VAR_fout</v>
          </cell>
          <cell r="D560" t="str">
            <v>ITOT_KEV_WST_ELC_CHP</v>
          </cell>
          <cell r="E560">
            <v>0.23004508076834598</v>
          </cell>
          <cell r="F560">
            <v>0.23015798149413452</v>
          </cell>
          <cell r="G560">
            <v>2.958919532228629E-4</v>
          </cell>
          <cell r="H560">
            <v>2.6392534957786484E-4</v>
          </cell>
        </row>
        <row r="561">
          <cell r="B561" t="str">
            <v>ITOT-CHPWST</v>
          </cell>
          <cell r="C561" t="str">
            <v>VAR_fout</v>
          </cell>
          <cell r="D561" t="str">
            <v>CO2_I</v>
          </cell>
          <cell r="E561">
            <v>344.47015461566298</v>
          </cell>
          <cell r="F561">
            <v>344.64526755139298</v>
          </cell>
          <cell r="G561">
            <v>0.44307889057025202</v>
          </cell>
          <cell r="H561">
            <v>0.39521098769539098</v>
          </cell>
        </row>
        <row r="562">
          <cell r="B562" t="str">
            <v>ITOT-CHPWST</v>
          </cell>
          <cell r="C562" t="str">
            <v>VAR_fin</v>
          </cell>
          <cell r="D562" t="str">
            <v>IWST</v>
          </cell>
          <cell r="E562">
            <v>3.7119628730136038</v>
          </cell>
          <cell r="F562">
            <v>3.7138498658555261</v>
          </cell>
          <cell r="G562">
            <v>4.7745570104552994E-3</v>
          </cell>
          <cell r="H562">
            <v>4.2587390915451656E-3</v>
          </cell>
        </row>
        <row r="563">
          <cell r="B563" t="str">
            <v>ITOT-CHPWST</v>
          </cell>
          <cell r="C563" t="str">
            <v>VAR_ncap</v>
          </cell>
          <cell r="D563" t="str">
            <v>-</v>
          </cell>
          <cell r="F563">
            <v>1.6698904853676301E-8</v>
          </cell>
          <cell r="G563">
            <v>1.21387107098253E-8</v>
          </cell>
          <cell r="H563">
            <v>2.4048645689022301E-8</v>
          </cell>
        </row>
        <row r="564">
          <cell r="B564" t="str">
            <v>ITOT-CHPWST</v>
          </cell>
          <cell r="C564" t="str">
            <v>VAR_cap</v>
          </cell>
          <cell r="D564" t="str">
            <v>-</v>
          </cell>
          <cell r="E564">
            <v>3.8830585659036999E-2</v>
          </cell>
          <cell r="F564">
            <v>9.3641992011918584E-3</v>
          </cell>
          <cell r="G564">
            <v>7.9480693156566695E-5</v>
          </cell>
          <cell r="H564">
            <v>7.7955582672952634E-5</v>
          </cell>
        </row>
        <row r="565">
          <cell r="B565" t="str">
            <v>CAES-EBAT</v>
          </cell>
          <cell r="C565" t="str">
            <v>VAR_fout</v>
          </cell>
          <cell r="D565" t="str">
            <v>ELC13</v>
          </cell>
          <cell r="E565">
            <v>9.4514589055027284E-2</v>
          </cell>
          <cell r="F565">
            <v>4.0065384849682327E-3</v>
          </cell>
          <cell r="G565">
            <v>1.9592865137364069E-2</v>
          </cell>
          <cell r="H565">
            <v>2.1973018464116881E-2</v>
          </cell>
        </row>
        <row r="566">
          <cell r="B566" t="str">
            <v>CAES-EBAT</v>
          </cell>
          <cell r="C566" t="str">
            <v>VAR_fout</v>
          </cell>
          <cell r="D566" t="str">
            <v>AUX_CAES_OUT</v>
          </cell>
          <cell r="E566">
            <v>9.4514589055027201E-2</v>
          </cell>
          <cell r="F566">
            <v>4.0065384849682275E-3</v>
          </cell>
          <cell r="G566">
            <v>1.9592865137364055E-2</v>
          </cell>
          <cell r="H566">
            <v>2.197301846411685E-2</v>
          </cell>
        </row>
        <row r="567">
          <cell r="B567" t="str">
            <v>CAES-EBAT</v>
          </cell>
          <cell r="C567" t="str">
            <v>VAR_fin</v>
          </cell>
          <cell r="D567" t="str">
            <v>ELC13</v>
          </cell>
          <cell r="E567">
            <v>0.13502546585350092</v>
          </cell>
          <cell r="F567">
            <v>5.7261980877209738E-3</v>
          </cell>
          <cell r="G567">
            <v>2.7989845055682534E-2</v>
          </cell>
          <cell r="H567">
            <v>3.1390657413825677E-2</v>
          </cell>
        </row>
        <row r="568">
          <cell r="B568" t="str">
            <v>CAES-EBAT</v>
          </cell>
          <cell r="C568" t="str">
            <v>VAR_fin</v>
          </cell>
          <cell r="D568" t="str">
            <v>AUX_CAES_IN</v>
          </cell>
          <cell r="E568">
            <v>0.13502546585350092</v>
          </cell>
          <cell r="F568">
            <v>5.7261980877209738E-3</v>
          </cell>
          <cell r="G568">
            <v>2.7989845055682534E-2</v>
          </cell>
          <cell r="H568">
            <v>3.1390657413825677E-2</v>
          </cell>
        </row>
        <row r="569">
          <cell r="B569" t="str">
            <v>CAES-EBAT</v>
          </cell>
          <cell r="C569" t="str">
            <v>VAR_ncap</v>
          </cell>
          <cell r="D569" t="str">
            <v>-</v>
          </cell>
          <cell r="F569">
            <v>8.4795812707926096E-8</v>
          </cell>
          <cell r="G569">
            <v>8.6838575934311005E-8</v>
          </cell>
          <cell r="H569">
            <v>8.4290698011414404E-8</v>
          </cell>
        </row>
        <row r="570">
          <cell r="B570" t="str">
            <v>CAES-EBAT</v>
          </cell>
          <cell r="C570" t="str">
            <v>VAR_cap</v>
          </cell>
          <cell r="D570" t="str">
            <v>-</v>
          </cell>
          <cell r="E570">
            <v>0.1</v>
          </cell>
          <cell r="F570">
            <v>9.9997017632778851E-2</v>
          </cell>
          <cell r="G570">
            <v>9.9996845895696837E-2</v>
          </cell>
          <cell r="H570">
            <v>9.9996756667802403E-2</v>
          </cell>
        </row>
        <row r="571">
          <cell r="B571" t="str">
            <v>HPLSOL</v>
          </cell>
          <cell r="C571" t="str">
            <v>VAR_fout</v>
          </cell>
          <cell r="D571" t="str">
            <v>LTH</v>
          </cell>
          <cell r="H571">
            <v>1.2934234108348537E-5</v>
          </cell>
        </row>
        <row r="572">
          <cell r="B572" t="str">
            <v>HPLSOL</v>
          </cell>
          <cell r="C572" t="str">
            <v>VAR_fin</v>
          </cell>
          <cell r="D572" t="str">
            <v>SOL</v>
          </cell>
          <cell r="H572">
            <v>1.2934234108348537E-5</v>
          </cell>
        </row>
        <row r="573">
          <cell r="B573" t="str">
            <v>HPLSOL</v>
          </cell>
          <cell r="C573" t="str">
            <v>VAR_fin</v>
          </cell>
          <cell r="D573" t="str">
            <v>SOLPVC</v>
          </cell>
          <cell r="H573">
            <v>1.2934234108348499E-5</v>
          </cell>
        </row>
        <row r="574">
          <cell r="B574" t="str">
            <v>HPLSOL</v>
          </cell>
          <cell r="C574" t="str">
            <v>VAR_ncap</v>
          </cell>
          <cell r="D574" t="str">
            <v>-</v>
          </cell>
          <cell r="H574">
            <v>2.8192976651413301E-6</v>
          </cell>
        </row>
        <row r="575">
          <cell r="B575" t="str">
            <v>HPLSOL</v>
          </cell>
          <cell r="C575" t="str">
            <v>VAR_cap</v>
          </cell>
          <cell r="D575" t="str">
            <v>-</v>
          </cell>
          <cell r="H575">
            <v>2.8192976651413301E-6</v>
          </cell>
        </row>
        <row r="576">
          <cell r="B576" t="str">
            <v>RHEM-CHPNGA</v>
          </cell>
          <cell r="C576" t="str">
            <v>VAR_fout</v>
          </cell>
          <cell r="D576" t="str">
            <v>CO2_R</v>
          </cell>
          <cell r="E576">
            <v>5.6783029565253296</v>
          </cell>
          <cell r="F576">
            <v>5.81116854488644E-2</v>
          </cell>
          <cell r="G576">
            <v>0.25951010159096799</v>
          </cell>
        </row>
        <row r="577">
          <cell r="B577" t="str">
            <v>RHEM-CHPNGA</v>
          </cell>
          <cell r="C577" t="str">
            <v>VAR_fout</v>
          </cell>
          <cell r="D577" t="str">
            <v>RHEM_LTH_CHPNGA</v>
          </cell>
          <cell r="E577">
            <v>6.0151544793016945E-2</v>
          </cell>
          <cell r="F577">
            <v>6.2850090963443477E-4</v>
          </cell>
          <cell r="G577">
            <v>2.4243990765797745E-3</v>
          </cell>
        </row>
        <row r="578">
          <cell r="B578" t="str">
            <v>RHEM-CHPNGA</v>
          </cell>
          <cell r="C578" t="str">
            <v>VAR_fout</v>
          </cell>
          <cell r="D578" t="str">
            <v>RHEM_NKEV_GAS_ELC_CHP</v>
          </cell>
          <cell r="E578">
            <v>2.7688806333293497E-2</v>
          </cell>
          <cell r="F578">
            <v>2.9215419501066363E-4</v>
          </cell>
          <cell r="G578">
            <v>1.1438325361303701E-3</v>
          </cell>
        </row>
        <row r="579">
          <cell r="B579" t="str">
            <v>RHEM-CHPNGA</v>
          </cell>
          <cell r="C579" t="str">
            <v>VAR_fin</v>
          </cell>
          <cell r="D579" t="str">
            <v>RNGA</v>
          </cell>
          <cell r="E579">
            <v>0.10067913043484628</v>
          </cell>
          <cell r="F579">
            <v>1.0303490327812838E-3</v>
          </cell>
          <cell r="G579">
            <v>4.6012429360100743E-3</v>
          </cell>
        </row>
        <row r="580">
          <cell r="B580" t="str">
            <v>RHEM-CHPNGA</v>
          </cell>
          <cell r="C580" t="str">
            <v>VAR_ncap</v>
          </cell>
          <cell r="D580" t="str">
            <v>-</v>
          </cell>
          <cell r="G580">
            <v>5.7620062105743298E-8</v>
          </cell>
          <cell r="H580">
            <v>1.9469885628786499E-8</v>
          </cell>
        </row>
        <row r="581">
          <cell r="B581" t="str">
            <v>RHEM-CHPNGA</v>
          </cell>
          <cell r="C581" t="str">
            <v>VAR_cap</v>
          </cell>
          <cell r="D581" t="str">
            <v>-</v>
          </cell>
          <cell r="E581">
            <v>8.3678803772576013E-3</v>
          </cell>
          <cell r="F581">
            <v>8.748166668818072E-5</v>
          </cell>
          <cell r="G581">
            <v>8.7575852803755891E-5</v>
          </cell>
          <cell r="H581">
            <v>3.9439230264774749E-5</v>
          </cell>
        </row>
        <row r="582">
          <cell r="B582" t="str">
            <v>D-DH2</v>
          </cell>
          <cell r="C582" t="str">
            <v>VAR_fout</v>
          </cell>
          <cell r="D582" t="str">
            <v>H2</v>
          </cell>
          <cell r="H582">
            <v>6.136138856852121E-6</v>
          </cell>
        </row>
        <row r="583">
          <cell r="B583" t="str">
            <v>D-DH2</v>
          </cell>
          <cell r="C583" t="str">
            <v>VAR_fin</v>
          </cell>
          <cell r="D583" t="str">
            <v>H2_E</v>
          </cell>
          <cell r="H583">
            <v>6.1981200574263848E-6</v>
          </cell>
        </row>
        <row r="584">
          <cell r="B584" t="str">
            <v>D-DH2</v>
          </cell>
          <cell r="C584" t="str">
            <v>VAR_ncap</v>
          </cell>
          <cell r="D584" t="str">
            <v>-</v>
          </cell>
          <cell r="H584">
            <v>1.10415325401401E-5</v>
          </cell>
        </row>
        <row r="585">
          <cell r="B585" t="str">
            <v>D-DH2</v>
          </cell>
          <cell r="C585" t="str">
            <v>VAR_cap</v>
          </cell>
          <cell r="D585" t="str">
            <v>-</v>
          </cell>
          <cell r="H585">
            <v>1.10415325401401E-5</v>
          </cell>
        </row>
        <row r="586">
          <cell r="B586" t="str">
            <v>D-SBIO</v>
          </cell>
          <cell r="C586" t="str">
            <v>VAR_fout</v>
          </cell>
          <cell r="D586" t="str">
            <v>SBIO</v>
          </cell>
          <cell r="E586">
            <v>4.0476745403392496</v>
          </cell>
          <cell r="F586">
            <v>4.5832723595517715</v>
          </cell>
          <cell r="G586">
            <v>3.0423987923177669</v>
          </cell>
          <cell r="H586">
            <v>3.0321071621897415</v>
          </cell>
        </row>
        <row r="587">
          <cell r="B587" t="str">
            <v>D-SBIO</v>
          </cell>
          <cell r="C587" t="str">
            <v>VAR_fin</v>
          </cell>
          <cell r="D587" t="str">
            <v>BIO</v>
          </cell>
          <cell r="E587">
            <v>4.0476745403392496</v>
          </cell>
          <cell r="F587">
            <v>4.5832723595517715</v>
          </cell>
          <cell r="G587">
            <v>3.0423987923177669</v>
          </cell>
          <cell r="H587">
            <v>3.0321071621897415</v>
          </cell>
        </row>
        <row r="588">
          <cell r="B588" t="str">
            <v>SCOM-CHPBIO</v>
          </cell>
          <cell r="C588" t="str">
            <v>VAR_fout</v>
          </cell>
          <cell r="D588" t="str">
            <v>SCOM_LTH_CHPBIO</v>
          </cell>
          <cell r="E588">
            <v>1.4243128743059836</v>
          </cell>
          <cell r="F588">
            <v>1.578325399859821</v>
          </cell>
          <cell r="G588">
            <v>1.4829228347016219</v>
          </cell>
          <cell r="H588">
            <v>1.323919743665777</v>
          </cell>
        </row>
        <row r="589">
          <cell r="B589" t="str">
            <v>SCOM-CHPBIO</v>
          </cell>
          <cell r="C589" t="str">
            <v>VAR_fout</v>
          </cell>
          <cell r="D589" t="str">
            <v>SCOM_KEV_BIO_ELC_CHP</v>
          </cell>
          <cell r="E589">
            <v>0.9593676447766335</v>
          </cell>
          <cell r="F589">
            <v>1.1059448075564708</v>
          </cell>
          <cell r="G589">
            <v>1.1059444382561738</v>
          </cell>
          <cell r="H589">
            <v>1.1059445509953427</v>
          </cell>
        </row>
        <row r="590">
          <cell r="B590" t="str">
            <v>SCOM-CHPBIO</v>
          </cell>
          <cell r="C590" t="str">
            <v>VAR_fin</v>
          </cell>
          <cell r="D590" t="str">
            <v>SBIO</v>
          </cell>
          <cell r="E590">
            <v>2.6453956633088667</v>
          </cell>
          <cell r="F590">
            <v>3.0460464587742369</v>
          </cell>
          <cell r="G590">
            <v>3.0423987923177669</v>
          </cell>
          <cell r="H590">
            <v>3.0321071621897415</v>
          </cell>
        </row>
        <row r="591">
          <cell r="B591" t="str">
            <v>SCOM-CHPBIO</v>
          </cell>
          <cell r="C591" t="str">
            <v>VAR_ncap</v>
          </cell>
          <cell r="D591" t="str">
            <v>-</v>
          </cell>
          <cell r="F591">
            <v>2.6187181431673302E-2</v>
          </cell>
          <cell r="G591">
            <v>6.5661032912017201E-3</v>
          </cell>
          <cell r="H591">
            <v>1.22210139226939E-2</v>
          </cell>
        </row>
        <row r="592">
          <cell r="B592" t="str">
            <v>SCOM-CHPBIO</v>
          </cell>
          <cell r="C592" t="str">
            <v>VAR_cap</v>
          </cell>
          <cell r="D592" t="str">
            <v>-</v>
          </cell>
          <cell r="E592">
            <v>7.35127E-2</v>
          </cell>
          <cell r="F592">
            <v>8.4744615041142016E-2</v>
          </cell>
          <cell r="G592">
            <v>8.4744519225760401E-2</v>
          </cell>
          <cell r="H592">
            <v>8.4744682181003228E-2</v>
          </cell>
        </row>
        <row r="593">
          <cell r="B593" t="str">
            <v>RHES-EBAT</v>
          </cell>
          <cell r="C593" t="str">
            <v>VAR_fout</v>
          </cell>
          <cell r="D593" t="str">
            <v>RHES_ELC</v>
          </cell>
          <cell r="E593">
            <v>3.9332436511193577E-4</v>
          </cell>
          <cell r="F593">
            <v>3.9083830042280378E-4</v>
          </cell>
          <cell r="G593">
            <v>0.10012757548160803</v>
          </cell>
          <cell r="H593">
            <v>4.4005664594403089E-2</v>
          </cell>
        </row>
        <row r="594">
          <cell r="B594" t="str">
            <v>RHES-EBAT</v>
          </cell>
          <cell r="C594" t="str">
            <v>VAR_fout</v>
          </cell>
          <cell r="D594" t="str">
            <v>AUX_RHES-EBAT_OUT</v>
          </cell>
          <cell r="E594">
            <v>3.9332436511193625E-4</v>
          </cell>
          <cell r="F594">
            <v>3.9083830042280422E-4</v>
          </cell>
          <cell r="G594">
            <v>0.10012757548160808</v>
          </cell>
          <cell r="H594">
            <v>4.4005664594403228E-2</v>
          </cell>
        </row>
        <row r="595">
          <cell r="B595" t="str">
            <v>RHES-EBAT</v>
          </cell>
          <cell r="C595" t="str">
            <v>VAR_fin</v>
          </cell>
          <cell r="D595" t="str">
            <v>RHES_ELC</v>
          </cell>
          <cell r="E595">
            <v>4.3826687069594778E-4</v>
          </cell>
          <cell r="F595">
            <v>4.3482857117173865E-4</v>
          </cell>
          <cell r="G595">
            <v>0.11072788770561816</v>
          </cell>
          <cell r="H595">
            <v>4.8664632810037363E-2</v>
          </cell>
        </row>
        <row r="596">
          <cell r="B596" t="str">
            <v>RHES-EBAT</v>
          </cell>
          <cell r="C596" t="str">
            <v>VAR_fin</v>
          </cell>
          <cell r="D596" t="str">
            <v>AUX_RHES-EBAT_IN</v>
          </cell>
          <cell r="E596">
            <v>4.3826687069594778E-4</v>
          </cell>
          <cell r="F596">
            <v>4.3482857117173865E-4</v>
          </cell>
          <cell r="G596">
            <v>0.11072788770561816</v>
          </cell>
          <cell r="H596">
            <v>4.8664632810037363E-2</v>
          </cell>
        </row>
        <row r="597">
          <cell r="B597" t="str">
            <v>RHES-EBAT</v>
          </cell>
          <cell r="C597" t="str">
            <v>VAR_ncap</v>
          </cell>
          <cell r="D597" t="str">
            <v>-</v>
          </cell>
          <cell r="E597">
            <v>1.5736756676826801E-4</v>
          </cell>
          <cell r="F597">
            <v>2.5835476910791202E-7</v>
          </cell>
          <cell r="G597">
            <v>6.3914036747989303E-2</v>
          </cell>
          <cell r="H597">
            <v>3.4868385624301E-4</v>
          </cell>
        </row>
        <row r="598">
          <cell r="B598" t="str">
            <v>RHES-EBAT</v>
          </cell>
          <cell r="C598" t="str">
            <v>VAR_cap</v>
          </cell>
          <cell r="D598" t="str">
            <v>-</v>
          </cell>
          <cell r="E598">
            <v>1.6010714999957048E-4</v>
          </cell>
          <cell r="F598">
            <v>1.6029791263337463E-4</v>
          </cell>
          <cell r="G598">
            <v>6.4074205808699686E-2</v>
          </cell>
          <cell r="H598">
            <v>6.4377926737987992E-2</v>
          </cell>
        </row>
        <row r="599">
          <cell r="B599" t="str">
            <v>D-INGA</v>
          </cell>
          <cell r="C599" t="str">
            <v>VAR_fout</v>
          </cell>
          <cell r="D599" t="str">
            <v>CO2</v>
          </cell>
          <cell r="E599">
            <v>2101.5527816373201</v>
          </cell>
          <cell r="F599">
            <v>1848.2740845886999</v>
          </cell>
          <cell r="G599">
            <v>1887.2180135369499</v>
          </cell>
          <cell r="H599">
            <v>1779.59971786542</v>
          </cell>
        </row>
        <row r="600">
          <cell r="B600" t="str">
            <v>D-INGA</v>
          </cell>
          <cell r="C600" t="str">
            <v>VAR_fout</v>
          </cell>
          <cell r="D600" t="str">
            <v>INGA</v>
          </cell>
          <cell r="E600">
            <v>37.470322598049435</v>
          </cell>
          <cell r="F600">
            <v>32.66647810036698</v>
          </cell>
          <cell r="G600">
            <v>36.33265157194711</v>
          </cell>
          <cell r="H600">
            <v>34.939394332226712</v>
          </cell>
        </row>
        <row r="601">
          <cell r="B601" t="str">
            <v>D-INGA</v>
          </cell>
          <cell r="C601" t="str">
            <v>VAR_fin</v>
          </cell>
          <cell r="D601" t="str">
            <v>NGA</v>
          </cell>
          <cell r="E601">
            <v>37.261574142505708</v>
          </cell>
          <cell r="F601">
            <v>32.770817102636464</v>
          </cell>
          <cell r="G601">
            <v>33.461312296754379</v>
          </cell>
          <cell r="H601">
            <v>31.55318648697542</v>
          </cell>
        </row>
        <row r="602">
          <cell r="B602" t="str">
            <v>D-INGA</v>
          </cell>
          <cell r="C602" t="str">
            <v>VAR_fin</v>
          </cell>
          <cell r="D602" t="str">
            <v>BNGA</v>
          </cell>
          <cell r="E602">
            <v>0.32845188208644693</v>
          </cell>
          <cell r="F602">
            <v>1.9078613225042518E-5</v>
          </cell>
          <cell r="G602">
            <v>2.9874082755907003</v>
          </cell>
          <cell r="H602">
            <v>3.4978296326195717</v>
          </cell>
        </row>
        <row r="603">
          <cell r="B603" t="str">
            <v>D-INGA</v>
          </cell>
          <cell r="C603" t="str">
            <v>VAR_ncap</v>
          </cell>
          <cell r="D603" t="str">
            <v>-</v>
          </cell>
          <cell r="E603">
            <v>1.19799952748988E-7</v>
          </cell>
          <cell r="F603">
            <v>8.1807591519007195E-8</v>
          </cell>
          <cell r="G603">
            <v>9.5191238806530596E-8</v>
          </cell>
          <cell r="H603">
            <v>1.11872064592827E-7</v>
          </cell>
        </row>
        <row r="604">
          <cell r="B604" t="str">
            <v>D-INGA</v>
          </cell>
          <cell r="C604" t="str">
            <v>VAR_cap</v>
          </cell>
          <cell r="D604" t="str">
            <v>-</v>
          </cell>
          <cell r="E604">
            <v>1.9844834900660528</v>
          </cell>
          <cell r="F604">
            <v>1.9844835718736442</v>
          </cell>
          <cell r="G604">
            <v>1.9844836670648831</v>
          </cell>
          <cell r="H604">
            <v>1.9844837789369476</v>
          </cell>
        </row>
        <row r="605">
          <cell r="B605" t="str">
            <v>EWIND</v>
          </cell>
          <cell r="C605" t="str">
            <v>VAR_fout</v>
          </cell>
          <cell r="D605" t="str">
            <v>ELC35</v>
          </cell>
          <cell r="E605">
            <v>0.52400000000000047</v>
          </cell>
          <cell r="F605">
            <v>0.54529210298713582</v>
          </cell>
          <cell r="G605">
            <v>0.50316470132068525</v>
          </cell>
          <cell r="H605">
            <v>2.0502622389415159</v>
          </cell>
        </row>
        <row r="606">
          <cell r="B606" t="str">
            <v>EWIND</v>
          </cell>
          <cell r="C606" t="str">
            <v>VAR_fin</v>
          </cell>
          <cell r="D606" t="str">
            <v>WND</v>
          </cell>
          <cell r="E606">
            <v>0.52400000000000047</v>
          </cell>
          <cell r="F606">
            <v>0.54529210298713582</v>
          </cell>
          <cell r="G606">
            <v>0.50316470132068525</v>
          </cell>
          <cell r="H606">
            <v>2.0502622389415159</v>
          </cell>
        </row>
        <row r="607">
          <cell r="B607" t="str">
            <v>EWIND</v>
          </cell>
          <cell r="C607" t="str">
            <v>VAR_ncap</v>
          </cell>
          <cell r="D607" t="str">
            <v>-</v>
          </cell>
          <cell r="F607">
            <v>7.1321272539257904E-3</v>
          </cell>
          <cell r="G607">
            <v>0.402134121651257</v>
          </cell>
          <cell r="H607">
            <v>2.75956300363124E-5</v>
          </cell>
        </row>
        <row r="608">
          <cell r="B608" t="str">
            <v>EWIND</v>
          </cell>
          <cell r="C608" t="str">
            <v>VAR_cap</v>
          </cell>
          <cell r="D608" t="str">
            <v>-</v>
          </cell>
          <cell r="E608">
            <v>8.7120000000000003E-2</v>
          </cell>
          <cell r="F608">
            <v>9.0660015290532983E-2</v>
          </cell>
          <cell r="G608">
            <v>8.3655932784461984E-2</v>
          </cell>
          <cell r="H608">
            <v>0.34087568043792532</v>
          </cell>
        </row>
        <row r="609">
          <cell r="B609" t="str">
            <v>EGEO</v>
          </cell>
          <cell r="C609" t="str">
            <v>VAR_fout</v>
          </cell>
          <cell r="D609" t="str">
            <v>ELC35</v>
          </cell>
        </row>
        <row r="610">
          <cell r="B610" t="str">
            <v>EGEO</v>
          </cell>
          <cell r="C610" t="str">
            <v>VAR_fin</v>
          </cell>
          <cell r="D610" t="str">
            <v>GEO</v>
          </cell>
        </row>
        <row r="611">
          <cell r="B611" t="str">
            <v>EGEO</v>
          </cell>
          <cell r="C611" t="str">
            <v>VAR_ncap</v>
          </cell>
          <cell r="D611" t="str">
            <v>-</v>
          </cell>
        </row>
        <row r="612">
          <cell r="B612" t="str">
            <v>EGEO</v>
          </cell>
          <cell r="C612" t="str">
            <v>VAR_cap</v>
          </cell>
          <cell r="D612" t="str">
            <v>-</v>
          </cell>
        </row>
        <row r="613">
          <cell r="B613" t="str">
            <v>D-SPLT</v>
          </cell>
          <cell r="C613" t="str">
            <v>VAR_fout</v>
          </cell>
          <cell r="D613" t="str">
            <v>SPLT</v>
          </cell>
          <cell r="E613">
            <v>2.0856350343101524</v>
          </cell>
          <cell r="F613">
            <v>2.4000923132040493</v>
          </cell>
          <cell r="G613">
            <v>0.63650852920184731</v>
          </cell>
          <cell r="H613">
            <v>1.0634489422894986</v>
          </cell>
        </row>
        <row r="614">
          <cell r="B614" t="str">
            <v>D-SPLT</v>
          </cell>
          <cell r="C614" t="str">
            <v>VAR_fin</v>
          </cell>
          <cell r="D614" t="str">
            <v>PLT</v>
          </cell>
          <cell r="E614">
            <v>2.0856350343101524</v>
          </cell>
          <cell r="F614">
            <v>2.4000923132040493</v>
          </cell>
          <cell r="G614">
            <v>0.63650852920184731</v>
          </cell>
          <cell r="H614">
            <v>1.0634489422894986</v>
          </cell>
        </row>
        <row r="615">
          <cell r="B615" t="str">
            <v>RHES-ESOLPV</v>
          </cell>
          <cell r="C615" t="str">
            <v>VAR_fout</v>
          </cell>
          <cell r="D615" t="str">
            <v>RHES_SOL_ELC</v>
          </cell>
          <cell r="E615">
            <v>2.1349390887346629</v>
          </cell>
          <cell r="F615">
            <v>3.3906651816362334</v>
          </cell>
          <cell r="G615">
            <v>4.0404850366692546</v>
          </cell>
          <cell r="H615">
            <v>4.3440882705540531</v>
          </cell>
        </row>
        <row r="616">
          <cell r="B616" t="str">
            <v>RHES-ESOLPV</v>
          </cell>
          <cell r="C616" t="str">
            <v>VAR_fin</v>
          </cell>
          <cell r="D616" t="str">
            <v>SOL</v>
          </cell>
          <cell r="E616">
            <v>2.1349390887346629</v>
          </cell>
          <cell r="F616">
            <v>3.3906651816362334</v>
          </cell>
          <cell r="G616">
            <v>4.0404850366692546</v>
          </cell>
          <cell r="H616">
            <v>4.3440882705540531</v>
          </cell>
        </row>
        <row r="617">
          <cell r="B617" t="str">
            <v>RHES-ESOLPV</v>
          </cell>
          <cell r="C617" t="str">
            <v>VAR_fin</v>
          </cell>
          <cell r="D617" t="str">
            <v>SOLPVC</v>
          </cell>
          <cell r="E617">
            <v>2.1349390887346602</v>
          </cell>
          <cell r="F617">
            <v>3.3906651816362299</v>
          </cell>
          <cell r="G617">
            <v>4.04048503666926</v>
          </cell>
          <cell r="H617">
            <v>4.3440882705540496</v>
          </cell>
        </row>
        <row r="618">
          <cell r="B618" t="str">
            <v>RHES-ESOLPV</v>
          </cell>
          <cell r="C618" t="str">
            <v>VAR_ncap</v>
          </cell>
          <cell r="D618" t="str">
            <v>-</v>
          </cell>
          <cell r="F618">
            <v>1.0973096549037801E-8</v>
          </cell>
          <cell r="G618">
            <v>9.0753202715686496E-8</v>
          </cell>
          <cell r="H618">
            <v>6.6988452037617E-8</v>
          </cell>
        </row>
        <row r="619">
          <cell r="B619" t="str">
            <v>RHES-ESOLPV</v>
          </cell>
          <cell r="C619" t="str">
            <v>VAR_cap</v>
          </cell>
          <cell r="D619" t="str">
            <v>-</v>
          </cell>
          <cell r="E619">
            <v>0.67885700000000004</v>
          </cell>
          <cell r="F619">
            <v>1.1558999286512466</v>
          </cell>
          <cell r="G619">
            <v>1.2891571017262993</v>
          </cell>
          <cell r="H619">
            <v>1.2522743337711313</v>
          </cell>
        </row>
        <row r="620">
          <cell r="B620" t="str">
            <v>EHYD-DAM10</v>
          </cell>
          <cell r="C620" t="str">
            <v>VAR_fout</v>
          </cell>
          <cell r="D620" t="str">
            <v>ELC</v>
          </cell>
          <cell r="F620">
            <v>4.2372620162886322E-3</v>
          </cell>
          <cell r="G620">
            <v>3.433266218237143E-2</v>
          </cell>
          <cell r="H620">
            <v>0.71487898877743516</v>
          </cell>
        </row>
        <row r="621">
          <cell r="B621" t="str">
            <v>EHYD-DAM10</v>
          </cell>
          <cell r="C621" t="str">
            <v>VAR_fin</v>
          </cell>
          <cell r="D621" t="str">
            <v>HYDD</v>
          </cell>
          <cell r="F621">
            <v>4.2372620162886322E-3</v>
          </cell>
          <cell r="G621">
            <v>3.433266218237143E-2</v>
          </cell>
          <cell r="H621">
            <v>0.71487898877743516</v>
          </cell>
        </row>
        <row r="622">
          <cell r="B622" t="str">
            <v>EHYD-DAM10</v>
          </cell>
          <cell r="C622" t="str">
            <v>VAR_ncap</v>
          </cell>
          <cell r="D622" t="str">
            <v>-</v>
          </cell>
          <cell r="F622">
            <v>5.4276550211552804E-4</v>
          </cell>
          <cell r="G622">
            <v>3.1770225693740499E-3</v>
          </cell>
          <cell r="H622">
            <v>7.1529794224110904E-2</v>
          </cell>
        </row>
        <row r="623">
          <cell r="B623" t="str">
            <v>EHYD-DAM10</v>
          </cell>
          <cell r="C623" t="str">
            <v>VAR_cap</v>
          </cell>
          <cell r="D623" t="str">
            <v>-</v>
          </cell>
          <cell r="F623">
            <v>5.4276550211552804E-4</v>
          </cell>
          <cell r="G623">
            <v>3.7197880714895798E-3</v>
          </cell>
          <cell r="H623">
            <v>7.5249582295600498E-2</v>
          </cell>
        </row>
        <row r="624">
          <cell r="B624" t="str">
            <v>DH-EBAT</v>
          </cell>
          <cell r="C624" t="str">
            <v>VAR_fout</v>
          </cell>
          <cell r="D624" t="str">
            <v>ELC35</v>
          </cell>
          <cell r="E624">
            <v>1.196373329620501E-3</v>
          </cell>
          <cell r="F624">
            <v>9.1410815747314776E-4</v>
          </cell>
          <cell r="G624">
            <v>1.6591688888070725E-2</v>
          </cell>
          <cell r="H624">
            <v>3.3233102588472271E-2</v>
          </cell>
        </row>
        <row r="625">
          <cell r="B625" t="str">
            <v>DH-EBAT</v>
          </cell>
          <cell r="C625" t="str">
            <v>VAR_fout</v>
          </cell>
          <cell r="D625" t="str">
            <v>AUX_DH-EBAT_OUT</v>
          </cell>
          <cell r="E625">
            <v>1.1963733296205005E-3</v>
          </cell>
          <cell r="F625">
            <v>9.1410815747314743E-4</v>
          </cell>
          <cell r="G625">
            <v>1.6591688888070718E-2</v>
          </cell>
          <cell r="H625">
            <v>3.3233102588472264E-2</v>
          </cell>
        </row>
        <row r="626">
          <cell r="B626" t="str">
            <v>DH-EBAT</v>
          </cell>
          <cell r="C626" t="str">
            <v>VAR_fin</v>
          </cell>
          <cell r="D626" t="str">
            <v>ELC35</v>
          </cell>
          <cell r="E626">
            <v>1.3378216471674805E-3</v>
          </cell>
          <cell r="F626">
            <v>1.0223605512423516E-3</v>
          </cell>
          <cell r="G626">
            <v>1.8553665626403881E-2</v>
          </cell>
          <cell r="H626">
            <v>3.716286138491675E-2</v>
          </cell>
        </row>
        <row r="627">
          <cell r="B627" t="str">
            <v>DH-EBAT</v>
          </cell>
          <cell r="C627" t="str">
            <v>VAR_fin</v>
          </cell>
          <cell r="D627" t="str">
            <v>AUX_DH-EBAT_IN</v>
          </cell>
          <cell r="E627">
            <v>1.3378216471674805E-3</v>
          </cell>
          <cell r="F627">
            <v>1.0223605512423516E-3</v>
          </cell>
          <cell r="G627">
            <v>1.8553665626403881E-2</v>
          </cell>
          <cell r="H627">
            <v>3.716286138491675E-2</v>
          </cell>
        </row>
        <row r="628">
          <cell r="B628" t="str">
            <v>DH-EBAT</v>
          </cell>
          <cell r="C628" t="str">
            <v>VAR_ncap</v>
          </cell>
          <cell r="D628" t="str">
            <v>-</v>
          </cell>
          <cell r="E628">
            <v>1.6545657109003699E-4</v>
          </cell>
          <cell r="F628">
            <v>2.1387204600278399E-7</v>
          </cell>
          <cell r="G628">
            <v>3.7181924230773101E-3</v>
          </cell>
          <cell r="H628">
            <v>1.05546537276884E-2</v>
          </cell>
        </row>
        <row r="629">
          <cell r="B629" t="str">
            <v>DH-EBAT</v>
          </cell>
          <cell r="C629" t="str">
            <v>VAR_cap</v>
          </cell>
          <cell r="D629" t="str">
            <v>-</v>
          </cell>
          <cell r="E629">
            <v>1.6545657109003699E-4</v>
          </cell>
          <cell r="F629">
            <v>1.6558970330380008E-4</v>
          </cell>
          <cell r="G629">
            <v>3.8837261403423477E-3</v>
          </cell>
          <cell r="H629">
            <v>1.4393967474372917E-2</v>
          </cell>
        </row>
        <row r="630">
          <cell r="B630" t="str">
            <v>RHEM-EBAT</v>
          </cell>
          <cell r="C630" t="str">
            <v>VAR_fout</v>
          </cell>
          <cell r="D630" t="str">
            <v>RHEM_ELC</v>
          </cell>
          <cell r="E630">
            <v>3.8581740167781221E-4</v>
          </cell>
          <cell r="F630">
            <v>3.8335728782668119E-4</v>
          </cell>
          <cell r="G630">
            <v>3.0705136611842331E-2</v>
          </cell>
          <cell r="H630">
            <v>1.5903998871292398E-2</v>
          </cell>
        </row>
        <row r="631">
          <cell r="B631" t="str">
            <v>RHEM-EBAT</v>
          </cell>
          <cell r="C631" t="str">
            <v>VAR_fout</v>
          </cell>
          <cell r="D631" t="str">
            <v>AUX_RHEM-EBAT_OUT</v>
          </cell>
          <cell r="E631">
            <v>3.8581740167781254E-4</v>
          </cell>
          <cell r="F631">
            <v>3.8335728782668151E-4</v>
          </cell>
          <cell r="G631">
            <v>3.0705136611842355E-2</v>
          </cell>
          <cell r="H631">
            <v>1.5903998871292412E-2</v>
          </cell>
        </row>
        <row r="632">
          <cell r="B632" t="str">
            <v>RHEM-EBAT</v>
          </cell>
          <cell r="C632" t="str">
            <v>VAR_fin</v>
          </cell>
          <cell r="D632" t="str">
            <v>RHEM_ELC</v>
          </cell>
          <cell r="E632">
            <v>4.2996518410657762E-4</v>
          </cell>
          <cell r="F632">
            <v>4.2655558270054608E-4</v>
          </cell>
          <cell r="G632">
            <v>3.3955914673893375E-2</v>
          </cell>
          <cell r="H632">
            <v>1.7587965817615066E-2</v>
          </cell>
        </row>
        <row r="633">
          <cell r="B633" t="str">
            <v>RHEM-EBAT</v>
          </cell>
          <cell r="C633" t="str">
            <v>VAR_fin</v>
          </cell>
          <cell r="D633" t="str">
            <v>AUX_RHEM-EBAT_IN</v>
          </cell>
          <cell r="E633">
            <v>4.2996518410657762E-4</v>
          </cell>
          <cell r="F633">
            <v>4.2655558270054608E-4</v>
          </cell>
          <cell r="G633">
            <v>3.3955914673893375E-2</v>
          </cell>
          <cell r="H633">
            <v>1.7587965817615066E-2</v>
          </cell>
        </row>
        <row r="634">
          <cell r="B634" t="str">
            <v>RHEM-EBAT</v>
          </cell>
          <cell r="C634" t="str">
            <v>VAR_ncap</v>
          </cell>
          <cell r="D634" t="str">
            <v>-</v>
          </cell>
          <cell r="E634">
            <v>1.54298794784558E-4</v>
          </cell>
          <cell r="F634">
            <v>2.5438220146987201E-7</v>
          </cell>
          <cell r="G634">
            <v>1.89676028555372E-2</v>
          </cell>
          <cell r="H634">
            <v>6.0095820305844795E-4</v>
          </cell>
        </row>
        <row r="635">
          <cell r="B635" t="str">
            <v>RHEM-EBAT</v>
          </cell>
          <cell r="C635" t="str">
            <v>VAR_cap</v>
          </cell>
          <cell r="D635" t="str">
            <v>-</v>
          </cell>
          <cell r="E635">
            <v>1.5703837832155697E-4</v>
          </cell>
          <cell r="F635">
            <v>1.5722617112284314E-4</v>
          </cell>
          <cell r="G635">
            <v>1.9124695399701214E-2</v>
          </cell>
          <cell r="H635">
            <v>1.9681516588991647E-2</v>
          </cell>
        </row>
        <row r="636">
          <cell r="B636" t="str">
            <v>HPLGEO</v>
          </cell>
          <cell r="C636" t="str">
            <v>VAR_fout</v>
          </cell>
          <cell r="D636" t="str">
            <v>LTH</v>
          </cell>
        </row>
        <row r="637">
          <cell r="B637" t="str">
            <v>HPLGEO</v>
          </cell>
          <cell r="C637" t="str">
            <v>VAR_fin</v>
          </cell>
          <cell r="D637" t="str">
            <v>GEO</v>
          </cell>
        </row>
        <row r="638">
          <cell r="B638" t="str">
            <v>HPLGEO</v>
          </cell>
          <cell r="C638" t="str">
            <v>VAR_ncap</v>
          </cell>
          <cell r="D638" t="str">
            <v>-</v>
          </cell>
        </row>
        <row r="639">
          <cell r="B639" t="str">
            <v>HPLGEO</v>
          </cell>
          <cell r="C639" t="str">
            <v>VAR_cap</v>
          </cell>
          <cell r="D639" t="str">
            <v>-</v>
          </cell>
        </row>
        <row r="640">
          <cell r="B640" t="str">
            <v>EHYD-PUM15</v>
          </cell>
          <cell r="C640" t="str">
            <v>VAR_fout</v>
          </cell>
          <cell r="D640" t="str">
            <v>ELC</v>
          </cell>
          <cell r="F640">
            <v>5.6056900474438362E-4</v>
          </cell>
          <cell r="G640">
            <v>5.5699836063077964E-4</v>
          </cell>
          <cell r="H640">
            <v>7.8757327218375315E-4</v>
          </cell>
        </row>
        <row r="641">
          <cell r="B641" t="str">
            <v>EHYD-PUM15</v>
          </cell>
          <cell r="C641" t="str">
            <v>VAR_fout</v>
          </cell>
          <cell r="D641" t="str">
            <v>AUX_PUMP_OUT</v>
          </cell>
          <cell r="F641">
            <v>5.6056900474438362E-4</v>
          </cell>
          <cell r="G641">
            <v>5.5699836063077964E-4</v>
          </cell>
          <cell r="H641">
            <v>7.8757327218375315E-4</v>
          </cell>
        </row>
        <row r="642">
          <cell r="B642" t="str">
            <v>EHYD-PUM15</v>
          </cell>
          <cell r="C642" t="str">
            <v>VAR_fin</v>
          </cell>
          <cell r="D642" t="str">
            <v>AUX_PUMP_IN</v>
          </cell>
          <cell r="F642">
            <v>7.0143772420668959E-4</v>
          </cell>
          <cell r="G642">
            <v>6.9661879795761121E-4</v>
          </cell>
          <cell r="H642">
            <v>9.8444223051623054E-4</v>
          </cell>
        </row>
        <row r="643">
          <cell r="B643" t="str">
            <v>EHYD-PUM15</v>
          </cell>
          <cell r="C643" t="str">
            <v>VAR_fin</v>
          </cell>
          <cell r="D643" t="str">
            <v>ELC</v>
          </cell>
          <cell r="F643">
            <v>7.0143772420668959E-4</v>
          </cell>
          <cell r="G643">
            <v>6.9661879795761121E-4</v>
          </cell>
          <cell r="H643">
            <v>9.8444223051623054E-4</v>
          </cell>
        </row>
        <row r="644">
          <cell r="B644" t="str">
            <v>EHYD-PUM15</v>
          </cell>
          <cell r="C644" t="str">
            <v>VAR_ncap</v>
          </cell>
          <cell r="D644" t="str">
            <v>-</v>
          </cell>
          <cell r="F644">
            <v>6.6830760326266799E-5</v>
          </cell>
          <cell r="G644">
            <v>4.69113536203915E-8</v>
          </cell>
          <cell r="H644">
            <v>4.7674089535733098E-8</v>
          </cell>
        </row>
        <row r="645">
          <cell r="B645" t="str">
            <v>EHYD-PUM15</v>
          </cell>
          <cell r="C645" t="str">
            <v>VAR_cap</v>
          </cell>
          <cell r="D645" t="str">
            <v>-</v>
          </cell>
          <cell r="F645">
            <v>6.6830760326266799E-5</v>
          </cell>
          <cell r="G645">
            <v>6.6830760326266799E-5</v>
          </cell>
          <cell r="H645">
            <v>6.6830760326266799E-5</v>
          </cell>
        </row>
        <row r="646">
          <cell r="B646" t="str">
            <v>D-EWST</v>
          </cell>
          <cell r="C646" t="str">
            <v>VAR_fout</v>
          </cell>
          <cell r="D646" t="str">
            <v>CO2</v>
          </cell>
          <cell r="E646">
            <v>2266.2746268166802</v>
          </cell>
          <cell r="F646">
            <v>2235.40324946291</v>
          </cell>
          <cell r="G646">
            <v>2268.78181648185</v>
          </cell>
          <cell r="H646">
            <v>2238.5109540887001</v>
          </cell>
        </row>
        <row r="647">
          <cell r="B647" t="str">
            <v>D-EWST</v>
          </cell>
          <cell r="C647" t="str">
            <v>VAR_fout</v>
          </cell>
          <cell r="D647" t="str">
            <v>EWST</v>
          </cell>
          <cell r="E647">
            <v>48.842125577945751</v>
          </cell>
          <cell r="F647">
            <v>48.176795819954449</v>
          </cell>
          <cell r="G647">
            <v>48.896161174150429</v>
          </cell>
          <cell r="H647">
            <v>48.243770351140967</v>
          </cell>
        </row>
        <row r="648">
          <cell r="B648" t="str">
            <v>D-EWST</v>
          </cell>
          <cell r="C648" t="str">
            <v>VAR_fin</v>
          </cell>
          <cell r="D648" t="str">
            <v>WSTNREN</v>
          </cell>
          <cell r="E648">
            <v>24.421062788972879</v>
          </cell>
          <cell r="F648">
            <v>24.088397084729657</v>
          </cell>
          <cell r="G648">
            <v>24.448079918985442</v>
          </cell>
          <cell r="H648">
            <v>24.121885281128193</v>
          </cell>
        </row>
        <row r="649">
          <cell r="B649" t="str">
            <v>D-EWST</v>
          </cell>
          <cell r="C649" t="str">
            <v>VAR_fin</v>
          </cell>
          <cell r="D649" t="str">
            <v>WSTREN</v>
          </cell>
          <cell r="E649">
            <v>24.421062788972879</v>
          </cell>
          <cell r="F649">
            <v>24.088397084729657</v>
          </cell>
          <cell r="G649">
            <v>24.448079918985442</v>
          </cell>
          <cell r="H649">
            <v>24.121885281128193</v>
          </cell>
        </row>
        <row r="650">
          <cell r="B650"/>
          <cell r="C650"/>
          <cell r="D650"/>
        </row>
        <row r="651">
          <cell r="B651"/>
          <cell r="C651"/>
          <cell r="D651"/>
        </row>
        <row r="652">
          <cell r="B652"/>
          <cell r="C652"/>
          <cell r="D652"/>
        </row>
        <row r="653">
          <cell r="B653"/>
          <cell r="C653"/>
          <cell r="D653"/>
        </row>
        <row r="654">
          <cell r="B654"/>
          <cell r="C654"/>
          <cell r="D654"/>
        </row>
        <row r="655">
          <cell r="B655"/>
          <cell r="C655"/>
          <cell r="D655"/>
        </row>
        <row r="656">
          <cell r="B656"/>
          <cell r="C656"/>
          <cell r="D656"/>
        </row>
        <row r="657">
          <cell r="B657"/>
          <cell r="C657"/>
          <cell r="D657"/>
        </row>
        <row r="658">
          <cell r="B658"/>
          <cell r="C658"/>
          <cell r="D658"/>
        </row>
        <row r="659">
          <cell r="B659"/>
          <cell r="C659"/>
          <cell r="D659"/>
        </row>
        <row r="660">
          <cell r="B660"/>
          <cell r="C660"/>
          <cell r="D660"/>
        </row>
        <row r="661">
          <cell r="B661"/>
          <cell r="C661"/>
          <cell r="D661"/>
        </row>
        <row r="662">
          <cell r="B662"/>
          <cell r="C662"/>
          <cell r="D662"/>
        </row>
        <row r="663">
          <cell r="B663"/>
          <cell r="C663"/>
          <cell r="D663"/>
        </row>
        <row r="664">
          <cell r="B664"/>
          <cell r="C664"/>
          <cell r="D664"/>
        </row>
        <row r="665">
          <cell r="B665"/>
          <cell r="C665"/>
          <cell r="D665"/>
        </row>
        <row r="666">
          <cell r="B666"/>
          <cell r="C666"/>
          <cell r="D666"/>
        </row>
        <row r="667">
          <cell r="B667"/>
          <cell r="C667"/>
          <cell r="D667"/>
        </row>
        <row r="668">
          <cell r="B668"/>
          <cell r="C668"/>
          <cell r="D668"/>
        </row>
        <row r="669">
          <cell r="B669"/>
          <cell r="C669"/>
          <cell r="D669"/>
        </row>
        <row r="670">
          <cell r="B670"/>
          <cell r="C670"/>
          <cell r="D670"/>
        </row>
        <row r="671">
          <cell r="B671"/>
          <cell r="C671"/>
          <cell r="D671"/>
        </row>
        <row r="672">
          <cell r="B672"/>
          <cell r="C672"/>
          <cell r="D672"/>
        </row>
        <row r="673">
          <cell r="B673"/>
          <cell r="C673"/>
          <cell r="D673"/>
        </row>
        <row r="674">
          <cell r="B674"/>
          <cell r="C674"/>
          <cell r="D674"/>
        </row>
        <row r="675">
          <cell r="B675"/>
          <cell r="C675"/>
          <cell r="D675"/>
        </row>
        <row r="676">
          <cell r="B676"/>
          <cell r="C676"/>
          <cell r="D676"/>
        </row>
        <row r="677">
          <cell r="B677"/>
          <cell r="C677"/>
          <cell r="D677"/>
        </row>
        <row r="678">
          <cell r="B678"/>
          <cell r="C678"/>
          <cell r="D678"/>
        </row>
        <row r="679">
          <cell r="B679"/>
          <cell r="C679"/>
          <cell r="D679"/>
        </row>
        <row r="680">
          <cell r="B680"/>
          <cell r="C680"/>
          <cell r="D680"/>
        </row>
        <row r="681">
          <cell r="B681"/>
          <cell r="C681"/>
          <cell r="D681"/>
        </row>
        <row r="682">
          <cell r="B682"/>
          <cell r="C682"/>
          <cell r="D682"/>
        </row>
        <row r="683">
          <cell r="B683"/>
          <cell r="C683"/>
          <cell r="D683"/>
        </row>
        <row r="684">
          <cell r="B684"/>
          <cell r="C684"/>
          <cell r="D684"/>
        </row>
        <row r="685">
          <cell r="B685"/>
          <cell r="C685"/>
          <cell r="D685"/>
        </row>
        <row r="686">
          <cell r="B686"/>
          <cell r="C686"/>
          <cell r="D686"/>
        </row>
        <row r="687">
          <cell r="B687"/>
          <cell r="C687"/>
          <cell r="D687"/>
        </row>
        <row r="688">
          <cell r="B688"/>
          <cell r="C688"/>
          <cell r="D688"/>
        </row>
        <row r="689">
          <cell r="B689"/>
          <cell r="C689"/>
          <cell r="D689"/>
        </row>
        <row r="690">
          <cell r="B690"/>
          <cell r="C690"/>
          <cell r="D690"/>
        </row>
        <row r="691">
          <cell r="B691"/>
          <cell r="C691"/>
          <cell r="D691"/>
        </row>
        <row r="692">
          <cell r="B692"/>
          <cell r="C692"/>
          <cell r="D692"/>
        </row>
        <row r="693">
          <cell r="B693"/>
          <cell r="C693"/>
          <cell r="D693"/>
        </row>
        <row r="694">
          <cell r="B694"/>
          <cell r="C694"/>
          <cell r="D694"/>
        </row>
        <row r="695">
          <cell r="B695"/>
          <cell r="C695"/>
          <cell r="D695"/>
        </row>
        <row r="696">
          <cell r="B696"/>
          <cell r="C696"/>
          <cell r="D696"/>
        </row>
        <row r="697">
          <cell r="B697"/>
          <cell r="C697"/>
          <cell r="D697"/>
        </row>
        <row r="698">
          <cell r="B698"/>
          <cell r="C698"/>
          <cell r="D698"/>
        </row>
        <row r="699">
          <cell r="B699"/>
          <cell r="C699"/>
          <cell r="D699"/>
        </row>
        <row r="700">
          <cell r="B700"/>
          <cell r="C700"/>
          <cell r="D700"/>
        </row>
        <row r="701">
          <cell r="B701"/>
          <cell r="C701"/>
          <cell r="D701"/>
        </row>
        <row r="702">
          <cell r="B702"/>
          <cell r="C702"/>
          <cell r="D702"/>
        </row>
        <row r="703">
          <cell r="B703"/>
          <cell r="C703"/>
          <cell r="D703"/>
        </row>
        <row r="704">
          <cell r="B704"/>
          <cell r="C704"/>
          <cell r="D704"/>
        </row>
        <row r="705">
          <cell r="B705"/>
          <cell r="C705"/>
          <cell r="D705"/>
        </row>
        <row r="706">
          <cell r="B706"/>
          <cell r="C706"/>
          <cell r="D706"/>
        </row>
        <row r="707">
          <cell r="B707"/>
          <cell r="C707"/>
          <cell r="D707"/>
        </row>
        <row r="708">
          <cell r="B708"/>
          <cell r="C708"/>
          <cell r="D708"/>
        </row>
        <row r="709">
          <cell r="B709"/>
          <cell r="C709"/>
          <cell r="D709"/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5.0592856291484898</v>
          </cell>
        </row>
        <row r="5">
          <cell r="A5" t="str">
            <v>EXPELC_DE</v>
          </cell>
          <cell r="C5" t="str">
            <v>ELC_E-DE</v>
          </cell>
          <cell r="D5">
            <v>26.492979688082254</v>
          </cell>
          <cell r="E5">
            <v>1.4857839317230039E-4</v>
          </cell>
          <cell r="F5">
            <v>1.7564354264258425E-4</v>
          </cell>
          <cell r="G5">
            <v>1.1159473634113997E-4</v>
          </cell>
        </row>
        <row r="6">
          <cell r="A6" t="str">
            <v>IMPDSL</v>
          </cell>
          <cell r="C6" t="str">
            <v>DSL</v>
          </cell>
          <cell r="D6">
            <v>117.52488736368969</v>
          </cell>
          <cell r="E6">
            <v>112.68583504147009</v>
          </cell>
          <cell r="F6">
            <v>95.748445720999754</v>
          </cell>
          <cell r="G6">
            <v>69.136065180247627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15.013807044343766</v>
          </cell>
          <cell r="E8">
            <v>1.7706776567152544E-2</v>
          </cell>
          <cell r="F8">
            <v>1.3269253792695243E-2</v>
          </cell>
          <cell r="G8">
            <v>1.3016244561304119E-2</v>
          </cell>
        </row>
        <row r="9">
          <cell r="A9" t="str">
            <v>IMPELC_AT</v>
          </cell>
          <cell r="C9" t="str">
            <v>ELCS</v>
          </cell>
          <cell r="D9">
            <v>15.013807044343766</v>
          </cell>
          <cell r="E9">
            <v>1.7706776567152544E-2</v>
          </cell>
          <cell r="F9">
            <v>1.3269253792695243E-2</v>
          </cell>
          <cell r="G9">
            <v>1.3016244561304119E-2</v>
          </cell>
        </row>
        <row r="10">
          <cell r="A10" t="str">
            <v>IMPELC_FR</v>
          </cell>
          <cell r="C10" t="str">
            <v>ELC_I-FR</v>
          </cell>
          <cell r="D10">
            <v>28.948622033497291</v>
          </cell>
          <cell r="E10">
            <v>17.237285963676449</v>
          </cell>
          <cell r="F10">
            <v>21.273359865652033</v>
          </cell>
          <cell r="G10">
            <v>14.83381277140796</v>
          </cell>
        </row>
        <row r="11">
          <cell r="A11" t="str">
            <v>IMPELC_FR</v>
          </cell>
          <cell r="C11" t="str">
            <v>ELCS</v>
          </cell>
          <cell r="D11">
            <v>28.948622033497291</v>
          </cell>
          <cell r="E11">
            <v>17.237285963676449</v>
          </cell>
          <cell r="F11">
            <v>21.273359865652033</v>
          </cell>
          <cell r="G11">
            <v>14.83381277140796</v>
          </cell>
        </row>
        <row r="12">
          <cell r="A12" t="str">
            <v>RNWHYDR1</v>
          </cell>
          <cell r="C12" t="str">
            <v>HYDR</v>
          </cell>
          <cell r="D12">
            <v>66.632400218261907</v>
          </cell>
          <cell r="E12">
            <v>55.764000499927093</v>
          </cell>
          <cell r="F12">
            <v>65.549520725005422</v>
          </cell>
          <cell r="G12">
            <v>64.46572592756182</v>
          </cell>
        </row>
        <row r="13">
          <cell r="A13" t="str">
            <v>EXPELC_IT</v>
          </cell>
          <cell r="C13" t="str">
            <v>ELC_E-IT</v>
          </cell>
          <cell r="D13">
            <v>71.694107838372162</v>
          </cell>
          <cell r="E13">
            <v>35.622263313325391</v>
          </cell>
          <cell r="F13">
            <v>74.624743058039513</v>
          </cell>
          <cell r="G13">
            <v>58.784561387023906</v>
          </cell>
        </row>
        <row r="14">
          <cell r="A14" t="str">
            <v>IMPLNG</v>
          </cell>
          <cell r="C14" t="str">
            <v>LBIO</v>
          </cell>
          <cell r="G14">
            <v>2.1353980508719332</v>
          </cell>
        </row>
        <row r="15">
          <cell r="A15" t="str">
            <v>IMPLNG</v>
          </cell>
          <cell r="C15" t="str">
            <v>LNGA</v>
          </cell>
          <cell r="G15">
            <v>2.991600098631315E-4</v>
          </cell>
        </row>
        <row r="16">
          <cell r="A16" t="str">
            <v>IMPURN1</v>
          </cell>
          <cell r="C16" t="str">
            <v>URN</v>
          </cell>
          <cell r="D16">
            <v>250.94817811360252</v>
          </cell>
          <cell r="E16">
            <v>253.30007324334682</v>
          </cell>
          <cell r="F16">
            <v>233.22742609086151</v>
          </cell>
          <cell r="G16">
            <v>211.90228197968187</v>
          </cell>
        </row>
        <row r="17">
          <cell r="A17" t="str">
            <v>EXPELC_AT</v>
          </cell>
          <cell r="C17" t="str">
            <v>ELC_E-AT</v>
          </cell>
          <cell r="D17">
            <v>6.2295572283639959</v>
          </cell>
          <cell r="E17">
            <v>2.1183212872880283E-4</v>
          </cell>
          <cell r="F17">
            <v>2.8078314982271364E-4</v>
          </cell>
          <cell r="G17">
            <v>4.9032527210814143E-5</v>
          </cell>
        </row>
        <row r="18">
          <cell r="A18" t="str">
            <v>EXPELC_FR</v>
          </cell>
          <cell r="C18" t="str">
            <v>ELC_E-FR</v>
          </cell>
          <cell r="D18">
            <v>12.75336069494074</v>
          </cell>
          <cell r="E18">
            <v>2.1015038260549732E-4</v>
          </cell>
          <cell r="F18">
            <v>2.2830026798602564E-4</v>
          </cell>
          <cell r="G18">
            <v>1.070566004915412E-4</v>
          </cell>
        </row>
        <row r="19">
          <cell r="A19" t="str">
            <v>RNWWND1</v>
          </cell>
          <cell r="C19" t="str">
            <v>WND</v>
          </cell>
          <cell r="D19">
            <v>0.52283121459596538</v>
          </cell>
          <cell r="E19">
            <v>0.54411725945951983</v>
          </cell>
          <cell r="F19">
            <v>0.50198286329264596</v>
          </cell>
          <cell r="G19">
            <v>0.87512506994260775</v>
          </cell>
        </row>
        <row r="20">
          <cell r="A20" t="str">
            <v>RNWWND2</v>
          </cell>
          <cell r="C20" t="str">
            <v>WND</v>
          </cell>
          <cell r="D20">
            <v>4.2237230491833403E-4</v>
          </cell>
          <cell r="E20">
            <v>4.2287196731371438E-4</v>
          </cell>
          <cell r="F20">
            <v>4.256195422612394E-4</v>
          </cell>
          <cell r="G20">
            <v>1.1739558354251554</v>
          </cell>
        </row>
        <row r="21">
          <cell r="A21" t="str">
            <v>RNWMNR1</v>
          </cell>
          <cell r="C21" t="str">
            <v>MNR</v>
          </cell>
          <cell r="D21">
            <v>3.798085649147819</v>
          </cell>
          <cell r="E21">
            <v>12.115548025655132</v>
          </cell>
          <cell r="F21">
            <v>12.540331484817028</v>
          </cell>
          <cell r="G21">
            <v>12.540425793035288</v>
          </cell>
        </row>
        <row r="22">
          <cell r="A22" t="str">
            <v>RNWWND3</v>
          </cell>
          <cell r="C22" t="str">
            <v>WND</v>
          </cell>
          <cell r="D22">
            <v>3.4851638694287476E-4</v>
          </cell>
          <cell r="E22">
            <v>3.4879169632749907E-4</v>
          </cell>
          <cell r="F22">
            <v>3.5105984963236812E-4</v>
          </cell>
          <cell r="G22">
            <v>7.6134553092082192E-4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2.4149010665449353E-4</v>
          </cell>
          <cell r="E24">
            <v>2.4146903847931141E-4</v>
          </cell>
          <cell r="F24">
            <v>2.4283156173250415E-4</v>
          </cell>
          <cell r="G24">
            <v>2.567797271145957E-4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101.72708482972673</v>
          </cell>
          <cell r="E26">
            <v>88.213218937770236</v>
          </cell>
          <cell r="F26">
            <v>87.829415595172208</v>
          </cell>
          <cell r="G26">
            <v>60.373687305546881</v>
          </cell>
        </row>
        <row r="27">
          <cell r="A27" t="str">
            <v>RNWWND5</v>
          </cell>
          <cell r="C27" t="str">
            <v>WND</v>
          </cell>
          <cell r="D27">
            <v>1.628303623161372E-4</v>
          </cell>
          <cell r="E27">
            <v>1.6257636036512714E-4</v>
          </cell>
          <cell r="F27">
            <v>1.6319403081297039E-4</v>
          </cell>
          <cell r="G27">
            <v>1.6795991392973281E-4</v>
          </cell>
        </row>
        <row r="28">
          <cell r="A28" t="str">
            <v>IMPBNGA</v>
          </cell>
          <cell r="C28" t="str">
            <v>BIO</v>
          </cell>
          <cell r="E28">
            <v>0.51650073746935232</v>
          </cell>
          <cell r="F28">
            <v>3.9635571493592869E-2</v>
          </cell>
          <cell r="G28">
            <v>0.57473722861775944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80.687923691864597</v>
          </cell>
          <cell r="G31">
            <v>79.262141529241504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80.538262271559617</v>
          </cell>
          <cell r="E35">
            <v>74.701288745619181</v>
          </cell>
          <cell r="F35">
            <v>71.058841507539654</v>
          </cell>
          <cell r="G35">
            <v>42.843897482028098</v>
          </cell>
        </row>
        <row r="36">
          <cell r="A36" t="str">
            <v>RNWWOD1</v>
          </cell>
          <cell r="C36" t="str">
            <v>WOD</v>
          </cell>
          <cell r="D36">
            <v>11.111878213818668</v>
          </cell>
          <cell r="E36">
            <v>11.952883852329043</v>
          </cell>
          <cell r="F36">
            <v>13.214393722284331</v>
          </cell>
          <cell r="G36">
            <v>15.316910326063205</v>
          </cell>
        </row>
        <row r="37">
          <cell r="A37" t="str">
            <v>RNWWOD2</v>
          </cell>
          <cell r="C37" t="str">
            <v>WOD</v>
          </cell>
          <cell r="D37">
            <v>7.511671348406523</v>
          </cell>
          <cell r="E37">
            <v>7.5431417282590161</v>
          </cell>
          <cell r="F37">
            <v>7.5903487008532862</v>
          </cell>
          <cell r="G37">
            <v>7.6690271540081607</v>
          </cell>
        </row>
        <row r="38">
          <cell r="A38" t="str">
            <v>RNWWOD3</v>
          </cell>
          <cell r="C38" t="str">
            <v>WOD</v>
          </cell>
          <cell r="D38">
            <v>3.1682451864176526</v>
          </cell>
          <cell r="E38">
            <v>3.4956727093226689</v>
          </cell>
          <cell r="F38">
            <v>3.9868152394287297</v>
          </cell>
          <cell r="G38">
            <v>4.8053865474766759</v>
          </cell>
        </row>
        <row r="39">
          <cell r="A39" t="str">
            <v>RNWWOD4</v>
          </cell>
          <cell r="C39" t="str">
            <v>WOD</v>
          </cell>
          <cell r="D39">
            <v>13.65649337906256</v>
          </cell>
          <cell r="E39">
            <v>14.899046000131491</v>
          </cell>
          <cell r="F39">
            <v>16.762873973260337</v>
          </cell>
          <cell r="G39">
            <v>19.869257064352745</v>
          </cell>
        </row>
        <row r="40">
          <cell r="A40" t="str">
            <v>RNWWOD5</v>
          </cell>
          <cell r="C40" t="str">
            <v>WOD</v>
          </cell>
          <cell r="D40">
            <v>9.5241472149026762</v>
          </cell>
          <cell r="E40">
            <v>10.299726631021091</v>
          </cell>
          <cell r="F40">
            <v>6.6360864105676791</v>
          </cell>
          <cell r="G40">
            <v>0.52993858342075495</v>
          </cell>
        </row>
        <row r="41">
          <cell r="A41" t="str">
            <v>RNNWWST1</v>
          </cell>
          <cell r="C41" t="str">
            <v>WSTNREN</v>
          </cell>
          <cell r="D41">
            <v>35.931071219635335</v>
          </cell>
          <cell r="E41">
            <v>35.882383983203951</v>
          </cell>
          <cell r="F41">
            <v>35.489472801443291</v>
          </cell>
          <cell r="G41">
            <v>35.039964672616627</v>
          </cell>
        </row>
        <row r="42">
          <cell r="A42" t="str">
            <v>RNWSOL1</v>
          </cell>
          <cell r="C42" t="str">
            <v>SOL</v>
          </cell>
          <cell r="D42">
            <v>12.556465000061728</v>
          </cell>
          <cell r="E42">
            <v>16.522192758234073</v>
          </cell>
          <cell r="F42">
            <v>30.34331457243988</v>
          </cell>
          <cell r="G42">
            <v>40.766964163093263</v>
          </cell>
        </row>
        <row r="43">
          <cell r="A43" t="str">
            <v>IMPHFO1</v>
          </cell>
          <cell r="C43" t="str">
            <v>HFO</v>
          </cell>
          <cell r="D43">
            <v>2.7763729691048495</v>
          </cell>
          <cell r="E43">
            <v>2.7644096080017775</v>
          </cell>
          <cell r="F43">
            <v>1.1874232333030327E-3</v>
          </cell>
          <cell r="G43">
            <v>2.1723863373345604E-4</v>
          </cell>
        </row>
        <row r="44">
          <cell r="A44" t="str">
            <v>RNWHYDD1</v>
          </cell>
          <cell r="C44" t="str">
            <v>HYDD</v>
          </cell>
          <cell r="D44">
            <v>66.745679999995161</v>
          </cell>
          <cell r="E44">
            <v>49.798799902568796</v>
          </cell>
          <cell r="F44">
            <v>69.098091987387875</v>
          </cell>
          <cell r="G44">
            <v>70.38465783897324</v>
          </cell>
        </row>
        <row r="45">
          <cell r="A45" t="str">
            <v>IMPKER</v>
          </cell>
          <cell r="C45" t="str">
            <v>KER</v>
          </cell>
          <cell r="D45">
            <v>1.1089892146883049</v>
          </cell>
          <cell r="E45">
            <v>1.4052035590182419</v>
          </cell>
          <cell r="F45">
            <v>1.8484572389636504</v>
          </cell>
          <cell r="G45">
            <v>2.5718155868009052</v>
          </cell>
        </row>
        <row r="46">
          <cell r="A46" t="str">
            <v>IMPBDS</v>
          </cell>
          <cell r="C46" t="str">
            <v>BDS</v>
          </cell>
          <cell r="D46">
            <v>2.370970244669214</v>
          </cell>
          <cell r="E46">
            <v>2.3780127404933968</v>
          </cell>
          <cell r="F46">
            <v>3.2956764444540254</v>
          </cell>
          <cell r="G46">
            <v>4.1637311895584634</v>
          </cell>
        </row>
        <row r="47">
          <cell r="A47" t="str">
            <v>IMPCOA1</v>
          </cell>
          <cell r="C47" t="str">
            <v>COA</v>
          </cell>
          <cell r="D47">
            <v>3.6600053352139246</v>
          </cell>
          <cell r="E47">
            <v>3.5647180569304484</v>
          </cell>
          <cell r="F47">
            <v>3.3672800381153882</v>
          </cell>
          <cell r="G47">
            <v>6.2984430927136275E-3</v>
          </cell>
        </row>
        <row r="48">
          <cell r="A48" t="str">
            <v>IMPETH</v>
          </cell>
          <cell r="C48" t="str">
            <v>ETH</v>
          </cell>
          <cell r="D48">
            <v>4.4341506418825913</v>
          </cell>
          <cell r="E48">
            <v>4.3259844240819616</v>
          </cell>
          <cell r="F48">
            <v>3.8851868700954437</v>
          </cell>
          <cell r="G48">
            <v>2.4820303883816024</v>
          </cell>
        </row>
        <row r="49">
          <cell r="A49" t="str">
            <v>IMPELC_DE</v>
          </cell>
          <cell r="C49" t="str">
            <v>ELC_I-DE</v>
          </cell>
          <cell r="D49">
            <v>46.398476122575623</v>
          </cell>
          <cell r="E49">
            <v>33.019061856164996</v>
          </cell>
          <cell r="F49">
            <v>29.165457970151063</v>
          </cell>
          <cell r="G49">
            <v>35.902209239879461</v>
          </cell>
        </row>
        <row r="50">
          <cell r="A50" t="str">
            <v>IMPELC_DE</v>
          </cell>
          <cell r="C50" t="str">
            <v>ELCS</v>
          </cell>
          <cell r="D50">
            <v>46.398476122575623</v>
          </cell>
          <cell r="E50">
            <v>33.019061856164996</v>
          </cell>
          <cell r="F50">
            <v>29.165457970151063</v>
          </cell>
          <cell r="G50">
            <v>35.902209239879461</v>
          </cell>
        </row>
        <row r="51">
          <cell r="A51" t="str">
            <v>RNWWST1</v>
          </cell>
          <cell r="C51" t="str">
            <v>WSTREN</v>
          </cell>
          <cell r="D51">
            <v>34.100436306317484</v>
          </cell>
          <cell r="E51">
            <v>34.814594654457927</v>
          </cell>
          <cell r="F51">
            <v>34.814597207567772</v>
          </cell>
          <cell r="G51">
            <v>34.814595316449584</v>
          </cell>
        </row>
        <row r="52">
          <cell r="A52" t="str">
            <v>IMPNGA1</v>
          </cell>
          <cell r="C52" t="str">
            <v>NGA</v>
          </cell>
          <cell r="D52">
            <v>117.04779675687243</v>
          </cell>
          <cell r="E52">
            <v>106.71999995850206</v>
          </cell>
          <cell r="F52">
            <v>107.15776278528217</v>
          </cell>
          <cell r="G52">
            <v>101.03240281673969</v>
          </cell>
        </row>
        <row r="53">
          <cell r="A53" t="str">
            <v>IMPELC_IT</v>
          </cell>
          <cell r="C53" t="str">
            <v>ELC_I-IT</v>
          </cell>
          <cell r="D53">
            <v>6.7990987403794056</v>
          </cell>
          <cell r="E53">
            <v>1.3674047949247017E-4</v>
          </cell>
          <cell r="F53">
            <v>1.1145174263870686E-4</v>
          </cell>
          <cell r="G53">
            <v>4.8196316443690645E-5</v>
          </cell>
        </row>
        <row r="54">
          <cell r="A54" t="str">
            <v>IMPELC_IT</v>
          </cell>
          <cell r="C54" t="str">
            <v>ELCS</v>
          </cell>
          <cell r="D54">
            <v>6.7990987403794056</v>
          </cell>
          <cell r="E54">
            <v>1.3674047949247017E-4</v>
          </cell>
          <cell r="F54">
            <v>1.1145174263870686E-4</v>
          </cell>
          <cell r="G54">
            <v>4.8196316443690645E-5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3.2682136058828681</v>
          </cell>
          <cell r="E4">
            <v>3.831986286663092</v>
          </cell>
          <cell r="F4">
            <v>0.6412147215463202</v>
          </cell>
          <cell r="G4">
            <v>1.0213163885204479</v>
          </cell>
          <cell r="H4">
            <v>1.2524005879511799</v>
          </cell>
          <cell r="I4">
            <v>1.4566923492872343</v>
          </cell>
          <cell r="J4">
            <v>1.8205271010142816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3.2682136058828681</v>
          </cell>
          <cell r="E5">
            <v>3.831986286663092</v>
          </cell>
          <cell r="F5">
            <v>0.6412147215463202</v>
          </cell>
          <cell r="G5">
            <v>1.0213163885204479</v>
          </cell>
          <cell r="H5">
            <v>1.2524005879511799</v>
          </cell>
          <cell r="I5">
            <v>1.4566923492872343</v>
          </cell>
          <cell r="J5">
            <v>1.8205271010142816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1.7919429476030734E-4</v>
          </cell>
          <cell r="F6">
            <v>4.4826376199749928E-5</v>
          </cell>
          <cell r="G6">
            <v>9.3801141418472004E-5</v>
          </cell>
          <cell r="H6">
            <v>1.0149815897352907E-4</v>
          </cell>
          <cell r="I6">
            <v>4.4299340820384566E-5</v>
          </cell>
          <cell r="J6">
            <v>1.1685762607468847E-4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1.7937348905506763E-4</v>
          </cell>
          <cell r="F7">
            <v>4.4871202575949658E-5</v>
          </cell>
          <cell r="G7">
            <v>9.3894942559890495E-5</v>
          </cell>
          <cell r="H7">
            <v>1.0159965713250257E-4</v>
          </cell>
          <cell r="I7">
            <v>4.4343640161204962E-5</v>
          </cell>
          <cell r="J7">
            <v>1.1697448370076314E-4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1.7071249684668668E-4</v>
          </cell>
          <cell r="F8">
            <v>4.254626782747684E-5</v>
          </cell>
          <cell r="G8">
            <v>9.333145319845571E-5</v>
          </cell>
          <cell r="H8">
            <v>1.0302920160324715E-4</v>
          </cell>
          <cell r="I8">
            <v>4.5380039954218932E-5</v>
          </cell>
          <cell r="J8">
            <v>1.18652506058415E-4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2.56695211053438E-5</v>
          </cell>
          <cell r="E9">
            <v>4.1322237014588301E-7</v>
          </cell>
          <cell r="F9">
            <v>3.3220373778608702E-5</v>
          </cell>
          <cell r="G9">
            <v>9.5626745984001408E-7</v>
          </cell>
          <cell r="H9">
            <v>1.03100765946009E-7</v>
          </cell>
          <cell r="I9">
            <v>5.7950866125556103E-6</v>
          </cell>
          <cell r="J9">
            <v>1.5493209820825E-5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2.56695211053438E-5</v>
          </cell>
          <cell r="E10">
            <v>2.6082743475489702E-5</v>
          </cell>
          <cell r="F10">
            <v>5.9303117254098301E-5</v>
          </cell>
          <cell r="G10">
            <v>6.02593847139384E-5</v>
          </cell>
          <cell r="H10">
            <v>4.1148446741300203E-5</v>
          </cell>
          <cell r="I10">
            <v>1.2435361457060399E-5</v>
          </cell>
          <cell r="J10">
            <v>1.9742509521864599E-5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3.4996431372097902E-4</v>
          </cell>
          <cell r="F11">
            <v>7.7801405904950904</v>
          </cell>
          <cell r="G11">
            <v>11.8878124540537</v>
          </cell>
          <cell r="H11">
            <v>13.6569642070192</v>
          </cell>
          <cell r="I11">
            <v>13.4099060228283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4.253862926843647E-6</v>
          </cell>
          <cell r="F12">
            <v>0.10025209251906422</v>
          </cell>
          <cell r="G12">
            <v>0.15318521005235772</v>
          </cell>
          <cell r="H12">
            <v>0.17598464297460636</v>
          </cell>
          <cell r="I12">
            <v>0.17280377020481755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4.7484981508952306E-6</v>
          </cell>
          <cell r="F13">
            <v>0.10556500122788452</v>
          </cell>
          <cell r="G13">
            <v>0.16130003329787995</v>
          </cell>
          <cell r="H13">
            <v>0.1853048060653901</v>
          </cell>
          <cell r="I13">
            <v>0.18195259189726254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6.2268206746530002E-6</v>
          </cell>
          <cell r="F14">
            <v>7.5731238954487606E-2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6.2268206746530002E-6</v>
          </cell>
          <cell r="F15">
            <v>7.5735011591361007E-2</v>
          </cell>
          <cell r="G15">
            <v>7.5732669558016469E-2</v>
          </cell>
          <cell r="H15">
            <v>7.5731148377863294E-2</v>
          </cell>
          <cell r="I15">
            <v>1.3413657705564739E-2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4.8678653274158297</v>
          </cell>
          <cell r="G16">
            <v>15.501856414916899</v>
          </cell>
          <cell r="H16">
            <v>22.105468204683401</v>
          </cell>
          <cell r="I16">
            <v>27.444693819281898</v>
          </cell>
          <cell r="J16">
            <v>36.209687644258601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0.16671678845698856</v>
          </cell>
          <cell r="G17">
            <v>0.53867245409103259</v>
          </cell>
          <cell r="H17">
            <v>0.77493700091216766</v>
          </cell>
          <cell r="I17">
            <v>0.96906012807947828</v>
          </cell>
          <cell r="J17">
            <v>1.2928152851427086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8.6309668925812572E-2</v>
          </cell>
          <cell r="G18">
            <v>0.27485561019356247</v>
          </cell>
          <cell r="H18">
            <v>0.39194092561495392</v>
          </cell>
          <cell r="I18">
            <v>0.48660804644116756</v>
          </cell>
          <cell r="J18">
            <v>0.64201573837337866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0.16671678845698856</v>
          </cell>
          <cell r="G19">
            <v>0.53867245409103259</v>
          </cell>
          <cell r="H19">
            <v>0.77493700091216766</v>
          </cell>
          <cell r="I19">
            <v>0.96906012807947828</v>
          </cell>
          <cell r="J19">
            <v>1.2928152851427086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1.01663644355515E-7</v>
          </cell>
          <cell r="F20">
            <v>1.2153241701597201E-2</v>
          </cell>
          <cell r="G20">
            <v>2.7090066452201699E-2</v>
          </cell>
          <cell r="H20">
            <v>1.7217329119080999E-2</v>
          </cell>
          <cell r="I20">
            <v>3.29404516706868E-2</v>
          </cell>
          <cell r="J20">
            <v>6.3657603413373606E-2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1.01663644355515E-7</v>
          </cell>
          <cell r="F21">
            <v>1.2153314409452125E-2</v>
          </cell>
          <cell r="G21">
            <v>3.9243374748104284E-2</v>
          </cell>
          <cell r="H21">
            <v>5.6460589656184119E-2</v>
          </cell>
          <cell r="I21">
            <v>7.0812453342661341E-2</v>
          </cell>
          <cell r="J21">
            <v>9.4846399388874778E-2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0.46151963789818995</v>
          </cell>
          <cell r="E22">
            <v>0.54457578943301721</v>
          </cell>
          <cell r="F22">
            <v>0.54462772317199415</v>
          </cell>
          <cell r="G22">
            <v>0.54462916795666838</v>
          </cell>
          <cell r="H22">
            <v>0.54463246916269659</v>
          </cell>
          <cell r="I22">
            <v>0.54463436577242219</v>
          </cell>
          <cell r="J22">
            <v>0.54463673968999615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0.46151963789818995</v>
          </cell>
          <cell r="E23">
            <v>0.54457578943301721</v>
          </cell>
          <cell r="F23">
            <v>0.54462772317199415</v>
          </cell>
          <cell r="G23">
            <v>0.54462916795666838</v>
          </cell>
          <cell r="H23">
            <v>0.54463246916269659</v>
          </cell>
          <cell r="I23">
            <v>0.54463436577242219</v>
          </cell>
          <cell r="J23">
            <v>0.54463673968999615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0.62578933952296967</v>
          </cell>
          <cell r="E24">
            <v>0.73757443264065503</v>
          </cell>
          <cell r="F24">
            <v>0.73639804823255517</v>
          </cell>
          <cell r="G24">
            <v>0.73433146241348601</v>
          </cell>
          <cell r="H24">
            <v>0.73227895013471855</v>
          </cell>
          <cell r="I24">
            <v>0.73023602114738217</v>
          </cell>
          <cell r="J24">
            <v>0.72618231958666135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8.1169115802483104E-3</v>
          </cell>
          <cell r="F25">
            <v>6.1354817551694997E-6</v>
          </cell>
          <cell r="G25">
            <v>2.06595145332969E-6</v>
          </cell>
          <cell r="H25">
            <v>2.8975443303957502E-2</v>
          </cell>
          <cell r="I25">
            <v>1.2206694837542701E-2</v>
          </cell>
          <cell r="J25">
            <v>1.9584899929464401E-2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3.7977316746688361E-2</v>
          </cell>
          <cell r="F26">
            <v>3.7975553659435418E-2</v>
          </cell>
          <cell r="G26">
            <v>3.7971415541529441E-2</v>
          </cell>
          <cell r="H26">
            <v>4.0877520868022217E-2</v>
          </cell>
          <cell r="I26">
            <v>4.1182385710519243E-2</v>
          </cell>
          <cell r="J26">
            <v>4.0698926802670309E-2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0.52047236388696438</v>
          </cell>
          <cell r="E27">
            <v>0.59724161463805969</v>
          </cell>
          <cell r="F27">
            <v>1.1580832203962335</v>
          </cell>
          <cell r="G27">
            <v>1.2375042662603155</v>
          </cell>
          <cell r="H27">
            <v>1.2375626572971945</v>
          </cell>
          <cell r="I27">
            <v>1.2541072773074793</v>
          </cell>
          <cell r="J27">
            <v>1.224352696437397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1.0409447277739288</v>
          </cell>
          <cell r="E28">
            <v>1.1944832292761201</v>
          </cell>
          <cell r="F28">
            <v>2.6419679210415565</v>
          </cell>
          <cell r="G28">
            <v>2.740496697579919</v>
          </cell>
          <cell r="H28">
            <v>2.6859656260834277</v>
          </cell>
          <cell r="I28">
            <v>2.676209611122133</v>
          </cell>
          <cell r="J28">
            <v>2.5183578445421455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5.1141681915983003E-3</v>
          </cell>
          <cell r="F29">
            <v>3.6248745382499503E-2</v>
          </cell>
          <cell r="G29">
            <v>7.9021595161018199E-3</v>
          </cell>
          <cell r="H29">
            <v>2.8661922383494898E-2</v>
          </cell>
          <cell r="I29">
            <v>4.5242433042290697E-2</v>
          </cell>
          <cell r="J29">
            <v>3.8728200861137298E-2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4.0436141262843277E-2</v>
          </cell>
          <cell r="F30">
            <v>7.6684795814723108E-2</v>
          </cell>
          <cell r="G30">
            <v>8.458689794639683E-2</v>
          </cell>
          <cell r="H30">
            <v>8.4592908901840985E-2</v>
          </cell>
          <cell r="I30">
            <v>8.5721714986847733E-2</v>
          </cell>
          <cell r="J30">
            <v>8.3685932094973867E-2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4.3871567479864861</v>
          </cell>
          <cell r="E31">
            <v>5.0342723942962087</v>
          </cell>
          <cell r="F31">
            <v>5.0868804259228391</v>
          </cell>
          <cell r="G31">
            <v>4.4611680555909725</v>
          </cell>
          <cell r="H31">
            <v>3.7206945036009476</v>
          </cell>
          <cell r="I31">
            <v>3.1087193495060159</v>
          </cell>
          <cell r="J31">
            <v>1.9779523289477134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6.0932732610923424</v>
          </cell>
          <cell r="E32">
            <v>6.9920449920780667</v>
          </cell>
          <cell r="F32">
            <v>7.1011162747486489</v>
          </cell>
          <cell r="G32">
            <v>6.1215851474393848</v>
          </cell>
          <cell r="H32">
            <v>5.0582222502637304</v>
          </cell>
          <cell r="I32">
            <v>4.20163843981556</v>
          </cell>
          <cell r="J32">
            <v>2.6404280427384315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5.2284715580908199E-2</v>
          </cell>
          <cell r="F33">
            <v>4.2489580898946097E-3</v>
          </cell>
          <cell r="G33">
            <v>4.5365793881392701E-8</v>
          </cell>
          <cell r="H33">
            <v>0.17764504713911899</v>
          </cell>
          <cell r="I33">
            <v>7.2837373185161203E-2</v>
          </cell>
          <cell r="J33">
            <v>3.1794501688174798E-2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0.40671274684314668</v>
          </cell>
          <cell r="F34">
            <v>0.41096168562543595</v>
          </cell>
          <cell r="G34">
            <v>0.41096086878580984</v>
          </cell>
          <cell r="H34">
            <v>0.30059693045751457</v>
          </cell>
          <cell r="I34">
            <v>0.25123494950208658</v>
          </cell>
          <cell r="J34">
            <v>0.15979789735989375</v>
          </cell>
        </row>
        <row r="35">
          <cell r="A35" t="str">
            <v>SCOM-SHWODBR</v>
          </cell>
          <cell r="B35" t="str">
            <v>VAR_fout</v>
          </cell>
          <cell r="C35" t="str">
            <v>SCOM-SHWOD</v>
          </cell>
          <cell r="D35">
            <v>6.1735456032767795</v>
          </cell>
          <cell r="E35">
            <v>6.8807335819935878</v>
          </cell>
          <cell r="F35">
            <v>6.1542998136493985</v>
          </cell>
          <cell r="G35">
            <v>6.278426986203284</v>
          </cell>
          <cell r="H35">
            <v>5.847975928820528</v>
          </cell>
          <cell r="I35">
            <v>5.3552813856706338</v>
          </cell>
          <cell r="J35">
            <v>4.6876371345869075</v>
          </cell>
        </row>
        <row r="36">
          <cell r="A36" t="str">
            <v>SCOM-SHWODBR</v>
          </cell>
          <cell r="B36" t="str">
            <v>VAR_fin</v>
          </cell>
          <cell r="C36" t="str">
            <v>SWOD</v>
          </cell>
          <cell r="D36">
            <v>8.5743688934399689</v>
          </cell>
          <cell r="E36">
            <v>9.5565744194355364</v>
          </cell>
          <cell r="F36">
            <v>9.1019400082607795</v>
          </cell>
          <cell r="G36">
            <v>9.2582715634484316</v>
          </cell>
          <cell r="H36">
            <v>8.6235213636323707</v>
          </cell>
          <cell r="I36">
            <v>7.8969858972910796</v>
          </cell>
          <cell r="J36">
            <v>6.8754691685169362</v>
          </cell>
        </row>
        <row r="37">
          <cell r="A37" t="str">
            <v>SCOM-SHWODBR</v>
          </cell>
          <cell r="B37" t="str">
            <v>VAR_ncap</v>
          </cell>
          <cell r="C37" t="str">
            <v>-</v>
          </cell>
          <cell r="D37">
            <v>2.2592731323993799E-6</v>
          </cell>
          <cell r="E37">
            <v>5.3454184076323803E-2</v>
          </cell>
          <cell r="F37">
            <v>1.3444210638145101E-7</v>
          </cell>
          <cell r="G37">
            <v>2.5011479181795502E-7</v>
          </cell>
          <cell r="H37">
            <v>0.30067351180847002</v>
          </cell>
          <cell r="I37">
            <v>0.115099328970836</v>
          </cell>
          <cell r="J37">
            <v>0.15358057726405699</v>
          </cell>
          <cell r="K37"/>
        </row>
        <row r="38">
          <cell r="A38" t="str">
            <v>SCOM-SHWODBR</v>
          </cell>
          <cell r="B38" t="str">
            <v>VAR_cap</v>
          </cell>
          <cell r="C38" t="str">
            <v>-</v>
          </cell>
          <cell r="D38">
            <v>0.4784225370902444</v>
          </cell>
          <cell r="E38">
            <v>0.53187668218903705</v>
          </cell>
          <cell r="F38">
            <v>0.5318656365771931</v>
          </cell>
          <cell r="G38">
            <v>0.53186371282515876</v>
          </cell>
          <cell r="H38">
            <v>0.45212797975893421</v>
          </cell>
          <cell r="I38">
            <v>0.41577280206912343</v>
          </cell>
          <cell r="J38">
            <v>0.36429515075102387</v>
          </cell>
          <cell r="K38"/>
        </row>
        <row r="39">
          <cell r="A39" t="str">
            <v>ITOT-SWHLTHCHP</v>
          </cell>
          <cell r="B39" t="str">
            <v>VAR_fout</v>
          </cell>
          <cell r="C39" t="str">
            <v>ITOT-SWH</v>
          </cell>
          <cell r="D39">
            <v>5.1850560883247825</v>
          </cell>
          <cell r="E39">
            <v>5.5675584428525999</v>
          </cell>
          <cell r="F39">
            <v>5.8792076071780022</v>
          </cell>
          <cell r="G39">
            <v>7.202313811396686</v>
          </cell>
          <cell r="H39">
            <v>6.777591749172303</v>
          </cell>
          <cell r="I39">
            <v>6.2502302324517771</v>
          </cell>
          <cell r="J39">
            <v>8.262877400202818</v>
          </cell>
        </row>
        <row r="40">
          <cell r="A40" t="str">
            <v>ITOT-SWHLTHCHP</v>
          </cell>
          <cell r="B40" t="str">
            <v>VAR_fin</v>
          </cell>
          <cell r="C40" t="str">
            <v>ITOTLTHCHPC</v>
          </cell>
          <cell r="D40">
            <v>5.1850560883247825</v>
          </cell>
          <cell r="E40">
            <v>5.5675584428525999</v>
          </cell>
          <cell r="F40">
            <v>5.8792076071780022</v>
          </cell>
          <cell r="G40">
            <v>7.202313811396686</v>
          </cell>
          <cell r="H40">
            <v>6.777591749172303</v>
          </cell>
          <cell r="I40">
            <v>6.2502302324517771</v>
          </cell>
          <cell r="J40">
            <v>8.262877400202818</v>
          </cell>
        </row>
        <row r="41">
          <cell r="A41" t="str">
            <v>ITOT-SWHLTHCHP</v>
          </cell>
          <cell r="B41" t="str">
            <v>VAR_fin</v>
          </cell>
          <cell r="C41" t="str">
            <v>ITOT_LTH_CHP_ON</v>
          </cell>
          <cell r="D41">
            <v>5.6086416703184279</v>
          </cell>
          <cell r="E41">
            <v>6.009520424732866</v>
          </cell>
          <cell r="F41">
            <v>6.3256293005247866</v>
          </cell>
          <cell r="G41">
            <v>7.7081473272432977</v>
          </cell>
          <cell r="H41">
            <v>7.2153696897560815</v>
          </cell>
          <cell r="I41">
            <v>6.6190623928932943</v>
          </cell>
          <cell r="J41">
            <v>8.697765684424029</v>
          </cell>
          <cell r="K41"/>
        </row>
        <row r="42">
          <cell r="A42" t="str">
            <v>ITOT-SWHLTHCHP</v>
          </cell>
          <cell r="B42" t="str">
            <v>VAR_ncap</v>
          </cell>
          <cell r="C42" t="str">
            <v>-</v>
          </cell>
          <cell r="D42"/>
          <cell r="E42">
            <v>1.2505352387426401E-2</v>
          </cell>
          <cell r="F42">
            <v>3.3483943918128499E-2</v>
          </cell>
          <cell r="G42">
            <v>8.4349477095289699E-2</v>
          </cell>
          <cell r="H42">
            <v>0.23760591342496301</v>
          </cell>
          <cell r="I42">
            <v>9.7848670819077596E-2</v>
          </cell>
          <cell r="J42">
            <v>0.31823946356101701</v>
          </cell>
          <cell r="K42"/>
        </row>
        <row r="43">
          <cell r="A43" t="str">
            <v>ITOT-SWHLTHCHP</v>
          </cell>
          <cell r="B43" t="str">
            <v>VAR_cap</v>
          </cell>
          <cell r="C43" t="str">
            <v>-</v>
          </cell>
          <cell r="D43">
            <v>0.62661755442165901</v>
          </cell>
          <cell r="E43">
            <v>0.33506438310545944</v>
          </cell>
          <cell r="F43">
            <v>0.35751059360567683</v>
          </cell>
          <cell r="G43">
            <v>0.430089262268952</v>
          </cell>
          <cell r="H43">
            <v>0.40625307020422796</v>
          </cell>
          <cell r="I43">
            <v>0.37542067334381862</v>
          </cell>
          <cell r="J43">
            <v>0.47804020522711371</v>
          </cell>
          <cell r="K43"/>
        </row>
        <row r="44">
          <cell r="A44" t="str">
            <v>RHSA-WHSTG-NGAHP</v>
          </cell>
          <cell r="B44" t="str">
            <v>VAR_fout</v>
          </cell>
          <cell r="C44" t="str">
            <v>RHSA-WHANGAH</v>
          </cell>
          <cell r="D44"/>
          <cell r="E44"/>
          <cell r="F44">
            <v>5.0295957743017872E-2</v>
          </cell>
          <cell r="G44">
            <v>0.12239121368852991</v>
          </cell>
          <cell r="H44">
            <v>0.18989953866662448</v>
          </cell>
          <cell r="I44">
            <v>0.24038117946792187</v>
          </cell>
          <cell r="J44">
            <v>0.36739235393667508</v>
          </cell>
          <cell r="K44"/>
        </row>
        <row r="45">
          <cell r="A45" t="str">
            <v>RHSA-WHSTG-NGAHP</v>
          </cell>
          <cell r="B45" t="str">
            <v>VAR_fout</v>
          </cell>
          <cell r="C45" t="str">
            <v>AUX_RHSA-WHSTG-NGAHP_OUT</v>
          </cell>
          <cell r="D45"/>
          <cell r="E45"/>
          <cell r="F45">
            <v>5.0346253700760894E-2</v>
          </cell>
          <cell r="G45">
            <v>0.12251360490221842</v>
          </cell>
          <cell r="H45">
            <v>0.19008943820529109</v>
          </cell>
          <cell r="I45">
            <v>0.24062156064738982</v>
          </cell>
          <cell r="J45">
            <v>0.36775974629061148</v>
          </cell>
          <cell r="K45"/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5.0301508837103763E-2</v>
          </cell>
          <cell r="G46">
            <v>0.12239606799319122</v>
          </cell>
          <cell r="H46">
            <v>0.18990260713959786</v>
          </cell>
          <cell r="I46">
            <v>0.2403825972230357</v>
          </cell>
          <cell r="J46">
            <v>0.36739496564399154</v>
          </cell>
          <cell r="K46"/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3.3505869058260701E-6</v>
          </cell>
          <cell r="E47">
            <v>4.78148997185937E-6</v>
          </cell>
          <cell r="F47">
            <v>1.39912095283206E-2</v>
          </cell>
          <cell r="G47">
            <v>2.01539288345189E-2</v>
          </cell>
          <cell r="H47">
            <v>1.84376038514605E-2</v>
          </cell>
          <cell r="I47">
            <v>3.2831334569701998E-2</v>
          </cell>
          <cell r="J47">
            <v>6.6379367387114002E-2</v>
          </cell>
          <cell r="K47"/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3.3549267458865743E-6</v>
          </cell>
          <cell r="E48">
            <v>8.0065956795294361E-7</v>
          </cell>
          <cell r="F48">
            <v>1.3991113115926929E-2</v>
          </cell>
          <cell r="G48">
            <v>3.4143452649047244E-2</v>
          </cell>
          <cell r="H48">
            <v>5.2566804750835368E-2</v>
          </cell>
          <cell r="I48">
            <v>6.7489020491580815E-2</v>
          </cell>
          <cell r="J48">
            <v>9.799053999551241E-2</v>
          </cell>
          <cell r="K48"/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5.4466912307558943E-2</v>
          </cell>
          <cell r="F49">
            <v>4.5359512516003819E-3</v>
          </cell>
          <cell r="G49">
            <v>7.2450137821379679E-3</v>
          </cell>
          <cell r="H49">
            <v>9.4539097022121737E-3</v>
          </cell>
          <cell r="I49">
            <v>1.1406278450731302E-2</v>
          </cell>
          <cell r="J49">
            <v>1.4097829013283216E-2</v>
          </cell>
          <cell r="K49"/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3.4405829122846385</v>
          </cell>
          <cell r="E50">
            <v>3.8270025880469305</v>
          </cell>
          <cell r="F50">
            <v>4.9258931786716271</v>
          </cell>
          <cell r="G50">
            <v>5.4323626322235707</v>
          </cell>
          <cell r="H50">
            <v>5.5901889014560489</v>
          </cell>
          <cell r="I50">
            <v>5.6305479889259704</v>
          </cell>
          <cell r="J50">
            <v>5.6986089483702225</v>
          </cell>
          <cell r="K50"/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3.1851518058627155</v>
          </cell>
          <cell r="E51">
            <v>3.5391915500075863</v>
          </cell>
          <cell r="F51">
            <v>1.5971885108083126</v>
          </cell>
          <cell r="G51">
            <v>1.7867662230163122</v>
          </cell>
          <cell r="H51">
            <v>1.8590885583086525</v>
          </cell>
          <cell r="I51">
            <v>1.8812030572676064</v>
          </cell>
          <cell r="J51">
            <v>1.9165479048903815</v>
          </cell>
          <cell r="K51"/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1.7142689463467711</v>
          </cell>
          <cell r="E52">
            <v>1.895533180833366</v>
          </cell>
          <cell r="F52">
            <v>1.7514153011695983</v>
          </cell>
          <cell r="G52">
            <v>2.1164551236835485</v>
          </cell>
          <cell r="H52">
            <v>2.3500199803539115</v>
          </cell>
          <cell r="I52">
            <v>2.5309036955748465</v>
          </cell>
          <cell r="J52">
            <v>2.8560561445934995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0.35009850779942164</v>
          </cell>
          <cell r="F53">
            <v>6.6180697507705305E-2</v>
          </cell>
          <cell r="G53">
            <v>0.12353563890355469</v>
          </cell>
          <cell r="H53">
            <v>0.16560937014621432</v>
          </cell>
          <cell r="I53">
            <v>0.19653607561390915</v>
          </cell>
          <cell r="J53">
            <v>0.24846956070336904</v>
          </cell>
          <cell r="K53"/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9.2187320999557674</v>
          </cell>
          <cell r="E54">
            <v>10.684707090469541</v>
          </cell>
          <cell r="F54">
            <v>9.2039326064743285</v>
          </cell>
          <cell r="G54">
            <v>10.401934169042013</v>
          </cell>
          <cell r="H54">
            <v>10.919853453282487</v>
          </cell>
          <cell r="I54">
            <v>11.18117421644761</v>
          </cell>
          <cell r="J54">
            <v>11.623080342694877</v>
          </cell>
          <cell r="K54"/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0.62767177786702899</v>
          </cell>
          <cell r="E55">
            <v>7.4321961206517696E-8</v>
          </cell>
          <cell r="F55">
            <v>1.49507302811985E-8</v>
          </cell>
          <cell r="G55">
            <v>1.7260486465908401E-8</v>
          </cell>
          <cell r="H55">
            <v>4.5910029588283299E-8</v>
          </cell>
          <cell r="I55">
            <v>2.4823711604341701E-8</v>
          </cell>
          <cell r="J55">
            <v>3.0742008709306297E-8</v>
          </cell>
          <cell r="K55"/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0.62767177786702899</v>
          </cell>
          <cell r="E56">
            <v>0.62767185218899002</v>
          </cell>
          <cell r="F56">
            <v>0.62767186713972101</v>
          </cell>
          <cell r="G56">
            <v>0.62767188440020705</v>
          </cell>
          <cell r="H56">
            <v>0.62767193031023705</v>
          </cell>
          <cell r="I56">
            <v>0.62767195513394802</v>
          </cell>
          <cell r="J56">
            <v>0.62767198587595696</v>
          </cell>
          <cell r="K56"/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9.196345513473996E-4</v>
          </cell>
          <cell r="E57">
            <v>1.1055055984359073E-4</v>
          </cell>
          <cell r="F57">
            <v>2.4211656162362229E-4</v>
          </cell>
          <cell r="G57"/>
          <cell r="H57"/>
          <cell r="I57"/>
          <cell r="J57"/>
          <cell r="K57"/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2.6769171781946096E-2</v>
          </cell>
          <cell r="E58">
            <v>1.816036351670726E-4</v>
          </cell>
          <cell r="F58">
            <v>9.0474648251276206E-4</v>
          </cell>
          <cell r="G58"/>
          <cell r="H58"/>
          <cell r="I58"/>
          <cell r="J58"/>
          <cell r="K58"/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2.7688806333293497E-2</v>
          </cell>
          <cell r="E59">
            <v>2.9215419501066363E-4</v>
          </cell>
          <cell r="F59">
            <v>1.1438325361303701E-3</v>
          </cell>
          <cell r="G59"/>
          <cell r="H59"/>
          <cell r="I59"/>
          <cell r="J59"/>
          <cell r="K59"/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73.238323008307631</v>
          </cell>
          <cell r="E60">
            <v>78.573895297104016</v>
          </cell>
          <cell r="F60">
            <v>63.32186930303039</v>
          </cell>
          <cell r="G60">
            <v>62.691415516888007</v>
          </cell>
          <cell r="H60">
            <v>61.924947903240984</v>
          </cell>
          <cell r="I60">
            <v>61.439067258140682</v>
          </cell>
          <cell r="J60">
            <v>60.762646428551115</v>
          </cell>
          <cell r="K60"/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6.9643117502211025</v>
          </cell>
          <cell r="F61">
            <v>2.2375721213979114</v>
          </cell>
          <cell r="G61">
            <v>4.0645233314683562</v>
          </cell>
          <cell r="H61">
            <v>5.848198487102513</v>
          </cell>
          <cell r="I61">
            <v>7.5761961855670528</v>
          </cell>
          <cell r="J61">
            <v>10.77033721353205</v>
          </cell>
          <cell r="K61"/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6.1735456032767795</v>
          </cell>
          <cell r="E62">
            <v>6.8807335819935878</v>
          </cell>
          <cell r="F62">
            <v>6.1542998136493985</v>
          </cell>
          <cell r="G62">
            <v>6.278426986203284</v>
          </cell>
          <cell r="H62">
            <v>5.847975928820528</v>
          </cell>
          <cell r="I62">
            <v>5.3552813856706338</v>
          </cell>
          <cell r="J62">
            <v>4.6876371345869075</v>
          </cell>
          <cell r="K62"/>
        </row>
        <row r="63">
          <cell r="A63" t="str">
            <v>SCOM-SHDEM</v>
          </cell>
          <cell r="B63" t="str">
            <v>VAR_fin</v>
          </cell>
          <cell r="C63" t="str">
            <v>SCOM-SHLTHD</v>
          </cell>
          <cell r="D63">
            <v>5.5539013379628575</v>
          </cell>
          <cell r="E63">
            <v>6.0159360294783326</v>
          </cell>
          <cell r="F63">
            <v>4.9302573283011286</v>
          </cell>
          <cell r="G63">
            <v>5.7793794550250759</v>
          </cell>
          <cell r="H63">
            <v>6.3102879088108068</v>
          </cell>
          <cell r="I63">
            <v>6.5940741786273085</v>
          </cell>
          <cell r="J63">
            <v>7.0167788630511243</v>
          </cell>
        </row>
        <row r="64">
          <cell r="A64" t="str">
            <v>SCOM-SHDEM</v>
          </cell>
          <cell r="B64" t="str">
            <v>VAR_fin</v>
          </cell>
          <cell r="C64" t="str">
            <v>SCOM-SHELCB</v>
          </cell>
          <cell r="D64">
            <v>2.3940351455857805</v>
          </cell>
          <cell r="E64">
            <v>0.59039894695929485</v>
          </cell>
          <cell r="F64">
            <v>0.5219521305293664</v>
          </cell>
          <cell r="G64">
            <v>0.35445021966888868</v>
          </cell>
          <cell r="H64">
            <v>0.28976560138349122</v>
          </cell>
          <cell r="I64">
            <v>0.2629539495967923</v>
          </cell>
          <cell r="J64">
            <v>0.19422983681730177</v>
          </cell>
        </row>
        <row r="65">
          <cell r="A65" t="str">
            <v>SCOM-SHDEM</v>
          </cell>
          <cell r="B65" t="str">
            <v>VAR_fin</v>
          </cell>
          <cell r="C65" t="str">
            <v>SCOM-SHBIO</v>
          </cell>
          <cell r="D65">
            <v>1.2230676365458992</v>
          </cell>
          <cell r="E65">
            <v>1.340768430658166</v>
          </cell>
          <cell r="F65"/>
          <cell r="G65"/>
          <cell r="H65"/>
          <cell r="I65"/>
          <cell r="J65"/>
        </row>
        <row r="66">
          <cell r="A66" t="str">
            <v>SCOM-SHDEM</v>
          </cell>
          <cell r="B66" t="str">
            <v>VAR_fin</v>
          </cell>
          <cell r="C66" t="str">
            <v>SCOM-SHELCH</v>
          </cell>
          <cell r="D66">
            <v>4.2612058605305716</v>
          </cell>
          <cell r="E66">
            <v>4.6176488190817642</v>
          </cell>
          <cell r="F66">
            <v>4.7664866592192805</v>
          </cell>
          <cell r="G66">
            <v>7.5118309453455074</v>
          </cell>
          <cell r="H66">
            <v>9.6814508112805449</v>
          </cell>
          <cell r="I66">
            <v>11.70659027330287</v>
          </cell>
          <cell r="J66">
            <v>15.908563263409155</v>
          </cell>
        </row>
        <row r="67">
          <cell r="A67" t="str">
            <v>SCOM-SHDEM</v>
          </cell>
          <cell r="B67" t="str">
            <v>VAR_fin</v>
          </cell>
          <cell r="C67" t="str">
            <v>SCOM-SHPLT</v>
          </cell>
          <cell r="D67">
            <v>1.8770715308791384</v>
          </cell>
          <cell r="E67">
            <v>2.1600830818836454</v>
          </cell>
          <cell r="F67">
            <v>0.42489618913846366</v>
          </cell>
          <cell r="G67">
            <v>0.71393835559870633</v>
          </cell>
          <cell r="H67">
            <v>0.86669651353355481</v>
          </cell>
          <cell r="I67">
            <v>1.016197433970635</v>
          </cell>
          <cell r="J67">
            <v>1.2444736950603308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SCOM-SHLTHC-NGA</v>
          </cell>
          <cell r="D68">
            <v>0.68564988224864121</v>
          </cell>
          <cell r="E68">
            <v>0.74269006352711142</v>
          </cell>
          <cell r="F68"/>
          <cell r="G68"/>
          <cell r="H68"/>
          <cell r="I68"/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SCOM-SHSOL</v>
          </cell>
          <cell r="D69">
            <v>0.62699568661739113</v>
          </cell>
          <cell r="E69">
            <v>0.68733276789378839</v>
          </cell>
          <cell r="F69">
            <v>0.52378889740605694</v>
          </cell>
          <cell r="G69">
            <v>0.61029129070357924</v>
          </cell>
          <cell r="H69">
            <v>0.6811462631577706</v>
          </cell>
          <cell r="I69">
            <v>0.73462670777425731</v>
          </cell>
          <cell r="J69">
            <v>0.87740711448009412</v>
          </cell>
        </row>
        <row r="70">
          <cell r="A70" t="str">
            <v>SCOM-SHDEM</v>
          </cell>
          <cell r="B70" t="str">
            <v>VAR_fin</v>
          </cell>
          <cell r="C70" t="str">
            <v>SCOM-SHNGA</v>
          </cell>
          <cell r="D70">
            <v>24.189714900644145</v>
          </cell>
          <cell r="E70">
            <v>25.326921092542829</v>
          </cell>
          <cell r="F70">
            <v>20.5470425238986</v>
          </cell>
          <cell r="G70">
            <v>18.075175015545405</v>
          </cell>
          <cell r="H70">
            <v>15.165487718011574</v>
          </cell>
          <cell r="I70">
            <v>12.201580113342146</v>
          </cell>
          <cell r="J70">
            <v>7.1474588807986725</v>
          </cell>
        </row>
        <row r="71">
          <cell r="A71" t="str">
            <v>SCOM-SHDEM</v>
          </cell>
          <cell r="B71" t="str">
            <v>VAR_fin</v>
          </cell>
          <cell r="C71" t="str">
            <v>SCOM-SHNGAH</v>
          </cell>
          <cell r="D71"/>
          <cell r="E71"/>
          <cell r="F71">
            <v>1.7216898379338046</v>
          </cell>
          <cell r="G71">
            <v>3.4536848846833119</v>
          </cell>
          <cell r="H71">
            <v>4.8093591031730591</v>
          </cell>
          <cell r="I71">
            <v>6.0106614780927075</v>
          </cell>
          <cell r="J71">
            <v>8.657827585770951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SCOM-SHLTHC-BIO</v>
          </cell>
          <cell r="D72">
            <v>1.4100657951492237</v>
          </cell>
          <cell r="E72">
            <v>1.5273703708853485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SCOM-SHLFO</v>
          </cell>
          <cell r="D73">
            <v>24.843069628867219</v>
          </cell>
          <cell r="E73">
            <v>21.719700361978994</v>
          </cell>
          <cell r="F73">
            <v>21.493883801556422</v>
          </cell>
          <cell r="G73">
            <v>15.849715032645875</v>
          </cell>
          <cell r="H73">
            <v>12.424579567967138</v>
          </cell>
          <cell r="I73">
            <v>9.9809055521962939</v>
          </cell>
          <cell r="J73">
            <v>4.257932260676152</v>
          </cell>
        </row>
        <row r="74">
          <cell r="A74" t="str">
            <v>ITOT-SWHSTG-NGAHP</v>
          </cell>
          <cell r="B74" t="str">
            <v>VAR_fout</v>
          </cell>
          <cell r="C74" t="str">
            <v>ITOT-SWHANGAH</v>
          </cell>
          <cell r="D74">
            <v>1.4256633915039996E-4</v>
          </cell>
          <cell r="E74">
            <v>2.8920954220061249E-4</v>
          </cell>
          <cell r="F74">
            <v>7.7779401673134586E-4</v>
          </cell>
          <cell r="G74">
            <v>2.7335049651786697E-4</v>
          </cell>
          <cell r="H74">
            <v>4.6509791059307147E-4</v>
          </cell>
          <cell r="I74">
            <v>4.1132264512535948E-4</v>
          </cell>
          <cell r="J74">
            <v>3.957362632826208E-4</v>
          </cell>
        </row>
        <row r="75">
          <cell r="A75" t="str">
            <v>ITOT-SWHSTG-NGAHP</v>
          </cell>
          <cell r="B75" t="str">
            <v>VAR_fin</v>
          </cell>
          <cell r="C75" t="str">
            <v>ITOT-SWHANGAH</v>
          </cell>
          <cell r="D75">
            <v>1.4256633915039996E-4</v>
          </cell>
          <cell r="E75">
            <v>2.8920954220061249E-4</v>
          </cell>
          <cell r="F75">
            <v>1.0029031256116431E-3</v>
          </cell>
          <cell r="G75">
            <v>3.3107276632187327E-4</v>
          </cell>
          <cell r="H75">
            <v>5.594677710067861E-4</v>
          </cell>
          <cell r="I75">
            <v>4.7876489988219465E-4</v>
          </cell>
          <cell r="J75">
            <v>4.3632035316120549E-4</v>
          </cell>
        </row>
        <row r="76">
          <cell r="A76" t="str">
            <v>ITOT-SWHSTG-NGAHP</v>
          </cell>
          <cell r="B76" t="str">
            <v>VAR_ncap</v>
          </cell>
          <cell r="C76" t="str">
            <v>-</v>
          </cell>
          <cell r="D76">
            <v>6.64752965709478E-4</v>
          </cell>
          <cell r="E76">
            <v>1.3422030144057499E-6</v>
          </cell>
          <cell r="F76">
            <v>3.0701420674660398E-4</v>
          </cell>
          <cell r="G76">
            <v>3.3827436858911199E-6</v>
          </cell>
          <cell r="H76">
            <v>1.7102351712489299E-5</v>
          </cell>
          <cell r="I76">
            <v>1.78003930815901E-3</v>
          </cell>
          <cell r="J76">
            <v>4.2544360207149499E-5</v>
          </cell>
          <cell r="K76"/>
        </row>
        <row r="77">
          <cell r="A77" t="str">
            <v>ITOT-SWHSTG-NGAHP</v>
          </cell>
          <cell r="B77" t="str">
            <v>VAR_cap</v>
          </cell>
          <cell r="C77" t="str">
            <v>-</v>
          </cell>
          <cell r="D77">
            <v>6.64752965709478E-4</v>
          </cell>
          <cell r="E77">
            <v>8.9990521862850104E-6</v>
          </cell>
          <cell r="F77">
            <v>3.4865922106686389E-4</v>
          </cell>
          <cell r="G77">
            <v>3.5500177498992409E-4</v>
          </cell>
          <cell r="H77">
            <v>1.73571775671779E-4</v>
          </cell>
          <cell r="I77">
            <v>1.8286794131466809E-3</v>
          </cell>
          <cell r="J77">
            <v>1.3260047424802572E-3</v>
          </cell>
          <cell r="K77"/>
        </row>
        <row r="78">
          <cell r="A78" t="str">
            <v>ITOT-STG-ELCSPEC</v>
          </cell>
          <cell r="B78" t="str">
            <v>VAR_fout</v>
          </cell>
          <cell r="C78" t="str">
            <v>ITOT-ELS</v>
          </cell>
          <cell r="D78"/>
          <cell r="E78">
            <v>9.2378388415737984E-3</v>
          </cell>
          <cell r="F78">
            <v>1.1437600574970912E-2</v>
          </cell>
          <cell r="G78">
            <v>1.1739374101317288E-2</v>
          </cell>
          <cell r="H78">
            <v>1.2855634825315657E-2</v>
          </cell>
          <cell r="I78">
            <v>1.3660938461289327E-2</v>
          </cell>
          <cell r="J78">
            <v>1.4840683693806939E-2</v>
          </cell>
          <cell r="K78"/>
        </row>
        <row r="79">
          <cell r="A79" t="str">
            <v>ITOT-STG-ELCSPEC</v>
          </cell>
          <cell r="B79" t="str">
            <v>VAR_fin</v>
          </cell>
          <cell r="C79" t="str">
            <v>ITOT-ELS</v>
          </cell>
          <cell r="D79"/>
          <cell r="E79">
            <v>9.238552406369633E-3</v>
          </cell>
          <cell r="F79">
            <v>1.1438341317811051E-2</v>
          </cell>
          <cell r="G79">
            <v>1.1739998190013185E-2</v>
          </cell>
          <cell r="H79">
            <v>1.2856443848101164E-2</v>
          </cell>
          <cell r="I79">
            <v>1.3661407597908336E-2</v>
          </cell>
          <cell r="J79">
            <v>1.4841208277524432E-2</v>
          </cell>
          <cell r="K79"/>
        </row>
        <row r="80">
          <cell r="A80" t="str">
            <v>ITOT-STG-ELCSPEC</v>
          </cell>
          <cell r="B80" t="str">
            <v>VAR_ncap</v>
          </cell>
          <cell r="C80" t="str">
            <v>-</v>
          </cell>
          <cell r="D80"/>
          <cell r="E80">
            <v>3.4727404439931599E-4</v>
          </cell>
          <cell r="F80">
            <v>7.4353795359258202E-5</v>
          </cell>
          <cell r="G80">
            <v>3.9289460247231E-6</v>
          </cell>
          <cell r="H80">
            <v>5.1526517391875201E-5</v>
          </cell>
          <cell r="I80">
            <v>1.9091545521227E-4</v>
          </cell>
          <cell r="J80">
            <v>3.0613933714593799E-4</v>
          </cell>
          <cell r="K80"/>
        </row>
        <row r="81">
          <cell r="A81" t="str">
            <v>ITOT-STG-ELCSPEC</v>
          </cell>
          <cell r="B81" t="str">
            <v>VAR_cap</v>
          </cell>
          <cell r="C81" t="str">
            <v>-</v>
          </cell>
          <cell r="D81"/>
          <cell r="E81">
            <v>3.4727404439931599E-4</v>
          </cell>
          <cell r="F81">
            <v>4.2150769053043936E-4</v>
          </cell>
          <cell r="G81">
            <v>4.2515188583663161E-4</v>
          </cell>
          <cell r="H81">
            <v>4.7602977064729472E-4</v>
          </cell>
          <cell r="I81">
            <v>4.9921428040443762E-4</v>
          </cell>
          <cell r="J81">
            <v>5.3858507960488785E-4</v>
          </cell>
          <cell r="K81"/>
        </row>
        <row r="82">
          <cell r="A82" t="str">
            <v>D-RHES_LTH_CHPNGA</v>
          </cell>
          <cell r="B82" t="str">
            <v>VAR_fout</v>
          </cell>
          <cell r="C82" t="str">
            <v>RHSA_LTH</v>
          </cell>
          <cell r="D82">
            <v>2.2271197306144213E-4</v>
          </cell>
          <cell r="E82">
            <v>1.4964097788791568E-5</v>
          </cell>
          <cell r="F82">
            <v>2.137448277752094E-3</v>
          </cell>
          <cell r="G82">
            <v>6.9649838890457014E-6</v>
          </cell>
          <cell r="H82">
            <v>8.3474859697492883E-6</v>
          </cell>
          <cell r="I82">
            <v>8.7280716578861272E-6</v>
          </cell>
          <cell r="J82">
            <v>5.3466825856922375E-6</v>
          </cell>
        </row>
        <row r="83">
          <cell r="A83" t="str">
            <v>D-RHES_LTH_CHPNGA</v>
          </cell>
          <cell r="B83" t="str">
            <v>VAR_fout</v>
          </cell>
          <cell r="C83" t="str">
            <v>RHES_LTH_CHPNGA_ON</v>
          </cell>
          <cell r="D83">
            <v>3.0841761600516309E-2</v>
          </cell>
          <cell r="E83">
            <v>1.101436487479665E-3</v>
          </cell>
          <cell r="F83">
            <v>1.2952203806956147E-3</v>
          </cell>
          <cell r="G83">
            <v>5.2857199744126235E-6</v>
          </cell>
          <cell r="H83">
            <v>2.6237813931570534E-6</v>
          </cell>
          <cell r="I83">
            <v>1.2059841859112714E-6</v>
          </cell>
          <cell r="J83">
            <v>2.5156048864803836E-6</v>
          </cell>
          <cell r="K83"/>
        </row>
        <row r="84">
          <cell r="A84" t="str">
            <v>D-RHES_LTH_CHPNGA</v>
          </cell>
          <cell r="B84" t="str">
            <v>VAR_fin</v>
          </cell>
          <cell r="C84" t="str">
            <v>RHES_LTH_CHPNGA</v>
          </cell>
          <cell r="D84">
            <v>3.1064473573577736E-2</v>
          </cell>
          <cell r="E84">
            <v>1.1165756534413729E-3</v>
          </cell>
          <cell r="F84">
            <v>3.4337700611001155E-3</v>
          </cell>
          <cell r="G84">
            <v>1.2793073629318558E-5</v>
          </cell>
          <cell r="H84">
            <v>1.1772690332377066E-5</v>
          </cell>
          <cell r="I84">
            <v>1.0730762693066545E-5</v>
          </cell>
          <cell r="J84">
            <v>8.8835501526111889E-6</v>
          </cell>
          <cell r="K84"/>
        </row>
        <row r="85">
          <cell r="A85" t="str">
            <v>D-ICOA</v>
          </cell>
          <cell r="B85" t="str">
            <v>VAR_fout</v>
          </cell>
          <cell r="C85" t="str">
            <v>ICOA</v>
          </cell>
          <cell r="D85">
            <v>3.5600044603966894</v>
          </cell>
          <cell r="E85">
            <v>3.464717415452482</v>
          </cell>
          <cell r="F85">
            <v>3.3403267487415373</v>
          </cell>
          <cell r="G85">
            <v>2.3688697598404625E-4</v>
          </cell>
          <cell r="H85">
            <v>3.8368021485818611E-4</v>
          </cell>
          <cell r="I85">
            <v>2.1683557334939852E-4</v>
          </cell>
          <cell r="J85">
            <v>1.1214242634192372E-4</v>
          </cell>
          <cell r="K85"/>
        </row>
        <row r="86">
          <cell r="A86" t="str">
            <v>D-ICOA</v>
          </cell>
          <cell r="B86" t="str">
            <v>VAR_fout</v>
          </cell>
          <cell r="C86" t="str">
            <v>CO2</v>
          </cell>
          <cell r="D86">
            <v>330.012413478773</v>
          </cell>
          <cell r="E86">
            <v>321.17930441244499</v>
          </cell>
          <cell r="F86">
            <v>309.64828960834097</v>
          </cell>
          <cell r="G86">
            <v>2.1959422673721099E-2</v>
          </cell>
          <cell r="H86">
            <v>3.5567155917353897E-2</v>
          </cell>
          <cell r="I86">
            <v>2.0100657649489199E-2</v>
          </cell>
          <cell r="J86">
            <v>1.0395602921896299E-2</v>
          </cell>
          <cell r="K86"/>
        </row>
        <row r="87">
          <cell r="A87" t="str">
            <v>D-ICOA</v>
          </cell>
          <cell r="B87" t="str">
            <v>VAR_fin</v>
          </cell>
          <cell r="C87" t="str">
            <v>COA</v>
          </cell>
          <cell r="D87">
            <v>3.5600044603966894</v>
          </cell>
          <cell r="E87">
            <v>3.464717415452482</v>
          </cell>
          <cell r="F87">
            <v>3.3403267487415373</v>
          </cell>
          <cell r="G87">
            <v>2.3688697598404625E-4</v>
          </cell>
          <cell r="H87">
            <v>3.8368021485818611E-4</v>
          </cell>
          <cell r="I87">
            <v>2.1683557334939852E-4</v>
          </cell>
          <cell r="J87">
            <v>1.1214242634192372E-4</v>
          </cell>
          <cell r="K87"/>
        </row>
        <row r="88">
          <cell r="A88" t="str">
            <v>RHEM-SHCONBR1</v>
          </cell>
          <cell r="B88" t="str">
            <v>VAR_fout</v>
          </cell>
          <cell r="C88" t="str">
            <v>RHEM-SHCON</v>
          </cell>
          <cell r="D88">
            <v>1.6048432291072049E-3</v>
          </cell>
          <cell r="E88">
            <v>0.78036665242266723</v>
          </cell>
          <cell r="F88">
            <v>0.49388663245048103</v>
          </cell>
          <cell r="G88">
            <v>1.4759898357436323</v>
          </cell>
          <cell r="H88">
            <v>2.6302383532752849</v>
          </cell>
          <cell r="I88">
            <v>2.903597085736414</v>
          </cell>
          <cell r="J88">
            <v>4.2470245803526039</v>
          </cell>
          <cell r="K88"/>
        </row>
        <row r="89">
          <cell r="A89" t="str">
            <v>RHEM-SHCONBR1</v>
          </cell>
          <cell r="B89" t="str">
            <v>VAR_fin</v>
          </cell>
          <cell r="C89" t="str">
            <v>CON</v>
          </cell>
          <cell r="D89">
            <v>1.6048432291072049E-3</v>
          </cell>
          <cell r="E89">
            <v>0.78036665242266723</v>
          </cell>
          <cell r="F89">
            <v>0.49388663245048103</v>
          </cell>
          <cell r="G89">
            <v>1.4759898357436323</v>
          </cell>
          <cell r="H89">
            <v>2.6302383532752849</v>
          </cell>
          <cell r="I89">
            <v>2.903597085736414</v>
          </cell>
          <cell r="J89">
            <v>4.2470245803526039</v>
          </cell>
          <cell r="K89"/>
        </row>
        <row r="90">
          <cell r="A90" t="str">
            <v>RHEM-SHCONBR1</v>
          </cell>
          <cell r="B90" t="str">
            <v>VAR_ncap</v>
          </cell>
          <cell r="C90" t="str">
            <v>-</v>
          </cell>
          <cell r="D90">
            <v>2.7551607302980199E-2</v>
          </cell>
          <cell r="E90">
            <v>2.7551607310575901E-2</v>
          </cell>
          <cell r="F90">
            <v>3.2210218448786999E-8</v>
          </cell>
          <cell r="G90">
            <v>4.9124727203380097E-2</v>
          </cell>
          <cell r="H90">
            <v>8.1505013721341599E-2</v>
          </cell>
          <cell r="I90">
            <v>1.9301388853758299E-2</v>
          </cell>
          <cell r="J90">
            <v>0.120221777299369</v>
          </cell>
          <cell r="K90"/>
        </row>
        <row r="91">
          <cell r="A91" t="str">
            <v>RHEM-SHCONBR1</v>
          </cell>
          <cell r="B91" t="str">
            <v>VAR_cap</v>
          </cell>
          <cell r="C91" t="str">
            <v>-</v>
          </cell>
          <cell r="D91">
            <v>2.7551607302980199E-2</v>
          </cell>
          <cell r="E91">
            <v>5.5103214613556099E-2</v>
          </cell>
          <cell r="F91">
            <v>5.5102897731261223E-2</v>
          </cell>
          <cell r="G91">
            <v>0.10422791708309757</v>
          </cell>
          <cell r="H91">
            <v>0.18573291502297126</v>
          </cell>
          <cell r="I91">
            <v>0.20503431664711327</v>
          </cell>
          <cell r="J91">
            <v>0.2998978079019966</v>
          </cell>
          <cell r="K91"/>
        </row>
        <row r="92">
          <cell r="A92" t="str">
            <v>RHEM-SHELCBR</v>
          </cell>
          <cell r="B92" t="str">
            <v>VAR_fout</v>
          </cell>
          <cell r="C92" t="str">
            <v>RHEM-SHAELCB</v>
          </cell>
          <cell r="D92">
            <v>4.6280308661791976</v>
          </cell>
          <cell r="E92">
            <v>3.1710353749138496</v>
          </cell>
          <cell r="F92">
            <v>3.7647497278787995E-2</v>
          </cell>
          <cell r="G92">
            <v>1.3278936855841771E-2</v>
          </cell>
          <cell r="H92">
            <v>5.077530058973349E-3</v>
          </cell>
          <cell r="I92">
            <v>4.7030613825699615E-3</v>
          </cell>
          <cell r="J92">
            <v>3.8960966935872236E-3</v>
          </cell>
          <cell r="K92"/>
        </row>
        <row r="93">
          <cell r="A93" t="str">
            <v>RHEM-SHELCBR</v>
          </cell>
          <cell r="B93" t="str">
            <v>VAR_fin</v>
          </cell>
          <cell r="C93" t="str">
            <v>RHEM_ELC</v>
          </cell>
          <cell r="D93">
            <v>4.8716114380833666</v>
          </cell>
          <cell r="E93">
            <v>3.3379319735935251</v>
          </cell>
          <cell r="F93">
            <v>4.0944231472060097E-2</v>
          </cell>
          <cell r="G93">
            <v>1.430430251121104E-2</v>
          </cell>
          <cell r="H93">
            <v>5.3882622239706099E-3</v>
          </cell>
          <cell r="I93">
            <v>4.990876999326042E-3</v>
          </cell>
          <cell r="J93">
            <v>4.1126042621961439E-3</v>
          </cell>
        </row>
        <row r="94">
          <cell r="A94" t="str">
            <v>RHEM-SHELCBR</v>
          </cell>
          <cell r="B94" t="str">
            <v>VAR_ncap</v>
          </cell>
          <cell r="C94" t="str">
            <v>-</v>
          </cell>
          <cell r="D94">
            <v>1.5114314835148299E-7</v>
          </cell>
          <cell r="E94">
            <v>6.9677880587804905E-8</v>
          </cell>
          <cell r="F94">
            <v>6.4902713184242597E-8</v>
          </cell>
          <cell r="G94">
            <v>1.13608761234298E-7</v>
          </cell>
          <cell r="H94">
            <v>1.25017194481417E-5</v>
          </cell>
          <cell r="I94">
            <v>3.9690051914445502E-4</v>
          </cell>
          <cell r="J94">
            <v>1.72280985569949E-5</v>
          </cell>
        </row>
        <row r="95">
          <cell r="A95" t="str">
            <v>RHEM-SHELCBR</v>
          </cell>
          <cell r="B95" t="str">
            <v>VAR_cap</v>
          </cell>
          <cell r="C95" t="str">
            <v>-</v>
          </cell>
          <cell r="D95">
            <v>0.32680129509148731</v>
          </cell>
          <cell r="E95">
            <v>0.32680011609231058</v>
          </cell>
          <cell r="F95">
            <v>4.8147986071820914E-3</v>
          </cell>
          <cell r="G95">
            <v>1.7166955106412973E-3</v>
          </cell>
          <cell r="H95">
            <v>4.5718859011384394E-4</v>
          </cell>
          <cell r="I95">
            <v>4.0918096592963601E-4</v>
          </cell>
          <cell r="J95">
            <v>3.1000680608787932E-4</v>
          </cell>
          <cell r="K95"/>
        </row>
        <row r="96">
          <cell r="A96" t="str">
            <v>RHNM-SHLTHCHPNGA</v>
          </cell>
          <cell r="B96" t="str">
            <v>VAR_fout</v>
          </cell>
          <cell r="C96" t="str">
            <v>RHNM-SHLTHC-NGA</v>
          </cell>
          <cell r="D96"/>
          <cell r="E96">
            <v>2.5546787577114009E-3</v>
          </cell>
          <cell r="F96"/>
          <cell r="G96"/>
          <cell r="H96"/>
          <cell r="I96"/>
          <cell r="J96"/>
          <cell r="K96"/>
        </row>
        <row r="97">
          <cell r="A97" t="str">
            <v>RHNM-SHLTHCHPNGA</v>
          </cell>
          <cell r="B97" t="str">
            <v>VAR_fin</v>
          </cell>
          <cell r="C97" t="str">
            <v>RHNMLTHCHPC</v>
          </cell>
          <cell r="D97"/>
          <cell r="E97">
            <v>2.5546787577114009E-3</v>
          </cell>
          <cell r="F97"/>
          <cell r="G97"/>
          <cell r="H97"/>
          <cell r="I97"/>
          <cell r="J97"/>
          <cell r="K97"/>
        </row>
        <row r="98">
          <cell r="A98" t="str">
            <v>RHNM-SHLTHCHPNGA</v>
          </cell>
          <cell r="B98" t="str">
            <v>VAR_fin</v>
          </cell>
          <cell r="C98" t="str">
            <v>RHNM_LTH_CHPNGA_ON</v>
          </cell>
          <cell r="D98"/>
          <cell r="E98">
            <v>2.5804835936478776E-3</v>
          </cell>
          <cell r="F98"/>
          <cell r="G98"/>
          <cell r="H98"/>
          <cell r="I98"/>
          <cell r="J98"/>
        </row>
        <row r="99">
          <cell r="A99" t="str">
            <v>RHNM-SHLTHCHPNGA</v>
          </cell>
          <cell r="B99" t="str">
            <v>VAR_ncap</v>
          </cell>
          <cell r="C99" t="str">
            <v>-</v>
          </cell>
          <cell r="D99"/>
          <cell r="E99">
            <v>2.2511178423635501E-4</v>
          </cell>
          <cell r="F99">
            <v>1.2514495119350601E-4</v>
          </cell>
          <cell r="G99">
            <v>3.2808681040362798E-5</v>
          </cell>
          <cell r="H99">
            <v>3.7414535651512801E-5</v>
          </cell>
          <cell r="I99">
            <v>1.5795805797287599E-5</v>
          </cell>
          <cell r="J99">
            <v>3.8292930801806198E-6</v>
          </cell>
        </row>
        <row r="100">
          <cell r="A100" t="str">
            <v>RHNM-SHLTHCHPNGA</v>
          </cell>
          <cell r="B100" t="str">
            <v>VAR_cap</v>
          </cell>
          <cell r="C100" t="str">
            <v>-</v>
          </cell>
          <cell r="D100"/>
          <cell r="E100">
            <v>2.2511178423635501E-4</v>
          </cell>
          <cell r="F100">
            <v>1.7853031744221001E-4</v>
          </cell>
          <cell r="G100">
            <v>6.6076326122343034E-5</v>
          </cell>
          <cell r="H100">
            <v>6.5107605380519001E-5</v>
          </cell>
          <cell r="I100">
            <v>3.2550495840793302E-5</v>
          </cell>
          <cell r="J100">
            <v>8.1927986821197E-6</v>
          </cell>
          <cell r="K100"/>
        </row>
        <row r="101">
          <cell r="A101" t="str">
            <v>RHEM-SHCONBR2</v>
          </cell>
          <cell r="B101" t="str">
            <v>VAR_fout</v>
          </cell>
          <cell r="C101" t="str">
            <v>RHEM-SHCON</v>
          </cell>
          <cell r="D101">
            <v>1.6780406990281949E-3</v>
          </cell>
          <cell r="E101">
            <v>1.2154259263391078</v>
          </cell>
          <cell r="F101">
            <v>0.80626956596834654</v>
          </cell>
          <cell r="G101">
            <v>1.2153737309482955</v>
          </cell>
          <cell r="H101">
            <v>2.2323726235457158</v>
          </cell>
          <cell r="I101">
            <v>4.0246179705658607</v>
          </cell>
          <cell r="J101">
            <v>6.6148281914685025</v>
          </cell>
          <cell r="K101"/>
        </row>
        <row r="102">
          <cell r="A102" t="str">
            <v>RHEM-SHCONBR2</v>
          </cell>
          <cell r="B102" t="str">
            <v>VAR_fin</v>
          </cell>
          <cell r="C102" t="str">
            <v>CON</v>
          </cell>
          <cell r="D102">
            <v>1.6780406990281949E-3</v>
          </cell>
          <cell r="E102">
            <v>1.2154259263391078</v>
          </cell>
          <cell r="F102">
            <v>0.80626956596834654</v>
          </cell>
          <cell r="G102">
            <v>1.2153737309482955</v>
          </cell>
          <cell r="H102">
            <v>2.2323726235457158</v>
          </cell>
          <cell r="I102">
            <v>4.0246179705658607</v>
          </cell>
          <cell r="J102">
            <v>6.6148281914685025</v>
          </cell>
          <cell r="K102"/>
        </row>
        <row r="103">
          <cell r="A103" t="str">
            <v>RHEM-SHCONBR2</v>
          </cell>
          <cell r="B103" t="str">
            <v>VAR_ncap</v>
          </cell>
          <cell r="C103" t="str">
            <v>-</v>
          </cell>
          <cell r="D103">
            <v>4.2912147477274898E-2</v>
          </cell>
          <cell r="E103">
            <v>4.2912147141272401E-2</v>
          </cell>
          <cell r="F103">
            <v>2.6647713879828401E-8</v>
          </cell>
          <cell r="G103">
            <v>6.4405455181015397E-7</v>
          </cell>
          <cell r="H103">
            <v>7.1813326527173593E-2</v>
          </cell>
          <cell r="I103">
            <v>0.126555369794039</v>
          </cell>
          <cell r="J103">
            <v>0.22239915330607499</v>
          </cell>
        </row>
        <row r="104">
          <cell r="A104" t="str">
            <v>RHEM-SHCONBR2</v>
          </cell>
          <cell r="B104" t="str">
            <v>VAR_cap</v>
          </cell>
          <cell r="C104" t="str">
            <v>-</v>
          </cell>
          <cell r="D104">
            <v>4.2912147477274898E-2</v>
          </cell>
          <cell r="E104">
            <v>8.5824294618547306E-2</v>
          </cell>
          <cell r="F104">
            <v>8.5823968550457833E-2</v>
          </cell>
          <cell r="G104">
            <v>8.5824908031923539E-2</v>
          </cell>
          <cell r="H104">
            <v>0.15763821880535742</v>
          </cell>
          <cell r="I104">
            <v>0.28419360127915577</v>
          </cell>
          <cell r="J104">
            <v>0.46709672697055465</v>
          </cell>
        </row>
        <row r="105">
          <cell r="A105" t="str">
            <v>D-RHSA_LTH</v>
          </cell>
          <cell r="B105" t="str">
            <v>VAR_fout</v>
          </cell>
          <cell r="C105" t="str">
            <v>RHSA_LTH</v>
          </cell>
          <cell r="D105">
            <v>3.2396931245436021E-3</v>
          </cell>
          <cell r="E105">
            <v>5.8563821975299371E-5</v>
          </cell>
          <cell r="F105">
            <v>2.2702926832999142E-3</v>
          </cell>
          <cell r="G105">
            <v>3.5489920480287849E-5</v>
          </cell>
          <cell r="H105">
            <v>2.4831588648063941E-5</v>
          </cell>
          <cell r="I105">
            <v>1.2398953709352676E-5</v>
          </cell>
          <cell r="J105">
            <v>8.5811077653080718E-6</v>
          </cell>
          <cell r="K105"/>
        </row>
        <row r="106">
          <cell r="A106" t="str">
            <v>D-RHSA_LTH</v>
          </cell>
          <cell r="B106" t="str">
            <v>VAR_fin</v>
          </cell>
          <cell r="C106" t="str">
            <v>RHEM_LTH_CHPWOD_ON</v>
          </cell>
          <cell r="D106">
            <v>1.280516380845467E-5</v>
          </cell>
          <cell r="E106">
            <v>8.6614464769578039E-6</v>
          </cell>
          <cell r="F106">
            <v>2.7770193401476812E-6</v>
          </cell>
          <cell r="G106">
            <v>5.5194249493234385E-6</v>
          </cell>
          <cell r="H106">
            <v>3.3854888873338204E-6</v>
          </cell>
          <cell r="I106">
            <v>1.4173910891001004E-6</v>
          </cell>
          <cell r="J106">
            <v>2.4184285229702012E-7</v>
          </cell>
          <cell r="K106"/>
        </row>
        <row r="107">
          <cell r="A107" t="str">
            <v>D-RHSA_LTH</v>
          </cell>
          <cell r="B107" t="str">
            <v>VAR_fin</v>
          </cell>
          <cell r="C107" t="str">
            <v>RHNM_LTH_CHPWOD_ON</v>
          </cell>
          <cell r="D107">
            <v>8.5716345426750247E-6</v>
          </cell>
          <cell r="E107">
            <v>9.9965059521486707E-6</v>
          </cell>
          <cell r="F107">
            <v>2.2096579684526258E-6</v>
          </cell>
          <cell r="G107">
            <v>3.2739296521456203E-6</v>
          </cell>
          <cell r="H107">
            <v>2.7685241155245884E-6</v>
          </cell>
          <cell r="I107">
            <v>1.8725496316992412E-6</v>
          </cell>
          <cell r="J107">
            <v>1.0228873073846404E-6</v>
          </cell>
          <cell r="K107"/>
        </row>
        <row r="108">
          <cell r="A108" t="str">
            <v>D-RHSA_LTH</v>
          </cell>
          <cell r="B108" t="str">
            <v>VAR_fin</v>
          </cell>
          <cell r="C108" t="str">
            <v>RHES_LTH_CHPWOD_ON</v>
          </cell>
          <cell r="D108">
            <v>1.2786845064513276E-5</v>
          </cell>
          <cell r="E108">
            <v>5.953408251339512E-6</v>
          </cell>
          <cell r="F108">
            <v>2.1285667745253775E-6</v>
          </cell>
          <cell r="G108">
            <v>3.6903540183830555E-6</v>
          </cell>
          <cell r="H108">
            <v>1.8738927873479821E-6</v>
          </cell>
          <cell r="I108">
            <v>8.8431685506718781E-7</v>
          </cell>
          <cell r="J108">
            <v>1.7884599298187517E-6</v>
          </cell>
          <cell r="K108"/>
        </row>
        <row r="109">
          <cell r="A109" t="str">
            <v>D-RHSA_LTH</v>
          </cell>
          <cell r="B109" t="str">
            <v>VAR_fin</v>
          </cell>
          <cell r="C109" t="str">
            <v>RHNS_LTH_CHPWOD_ON</v>
          </cell>
          <cell r="D109">
            <v>1.5479116234296634E-5</v>
          </cell>
          <cell r="E109">
            <v>6.2895925528651052E-6</v>
          </cell>
          <cell r="F109">
            <v>2.1939180189665864E-6</v>
          </cell>
          <cell r="G109">
            <v>4.9393200064242155E-6</v>
          </cell>
          <cell r="H109">
            <v>1.441374141988173E-6</v>
          </cell>
          <cell r="I109">
            <v>1.1446802409765679E-6</v>
          </cell>
          <cell r="J109">
            <v>2.9956835992429305E-7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RHEM_LTH_CHPNGA_ON</v>
          </cell>
          <cell r="D110">
            <v>2.8168309419440546E-3</v>
          </cell>
          <cell r="E110">
            <v>3.7732662937649258E-6</v>
          </cell>
          <cell r="F110">
            <v>2.2232610907063589E-4</v>
          </cell>
          <cell r="G110">
            <v>5.9531382890588918E-6</v>
          </cell>
          <cell r="H110">
            <v>4.1467150661758202E-6</v>
          </cell>
          <cell r="I110">
            <v>3.3371412733254384E-6</v>
          </cell>
          <cell r="J110">
            <v>7.7578612195776069E-7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RHNM_LTH_CHPNGA_ON</v>
          </cell>
          <cell r="D111">
            <v>9.7245709783068144E-6</v>
          </cell>
          <cell r="E111">
            <v>3.8774164490405231E-6</v>
          </cell>
          <cell r="F111"/>
          <cell r="G111">
            <v>3.0902442981800653E-6</v>
          </cell>
          <cell r="H111">
            <v>5.2158554313205377E-6</v>
          </cell>
          <cell r="I111">
            <v>1.3832844036609049E-6</v>
          </cell>
          <cell r="J111">
            <v>6.3719467642337213E-7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RHES_LTH_CHPNGA_ON</v>
          </cell>
          <cell r="D112">
            <v>3.5228978212353303E-4</v>
          </cell>
          <cell r="E112">
            <v>7.0898677830160007E-6</v>
          </cell>
          <cell r="F112">
            <v>1.2952203806956147E-3</v>
          </cell>
          <cell r="G112">
            <v>5.2857199744126235E-6</v>
          </cell>
          <cell r="H112">
            <v>2.6237813931570534E-6</v>
          </cell>
          <cell r="I112">
            <v>1.2059841859112714E-6</v>
          </cell>
          <cell r="J112">
            <v>2.5156048864803836E-6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RHNS_LTH_CHPNGA_ON</v>
          </cell>
          <cell r="D113">
            <v>1.1205069847766543E-5</v>
          </cell>
          <cell r="E113">
            <v>1.2922318216166829E-5</v>
          </cell>
          <cell r="F113">
            <v>7.4343703143157089E-4</v>
          </cell>
          <cell r="G113">
            <v>3.7377892923599205E-6</v>
          </cell>
          <cell r="H113">
            <v>3.3759568252159679E-6</v>
          </cell>
          <cell r="I113">
            <v>1.153606029611962E-6</v>
          </cell>
          <cell r="J113">
            <v>1.2997636310218544E-6</v>
          </cell>
        </row>
        <row r="114">
          <cell r="A114" t="str">
            <v>RHEM-SHLTHCHPWOD</v>
          </cell>
          <cell r="B114" t="str">
            <v>VAR_ncap</v>
          </cell>
          <cell r="C114" t="str">
            <v>-</v>
          </cell>
          <cell r="D114"/>
          <cell r="E114"/>
          <cell r="F114"/>
          <cell r="G114">
            <v>3.226657614569E-6</v>
          </cell>
          <cell r="H114">
            <v>5.9150266696384403E-6</v>
          </cell>
          <cell r="I114">
            <v>3.6809907963743802E-6</v>
          </cell>
          <cell r="J114">
            <v>1.9523150104899598E-6</v>
          </cell>
        </row>
        <row r="115">
          <cell r="A115" t="str">
            <v>RHEM-SHLTHCHPWOD</v>
          </cell>
          <cell r="B115" t="str">
            <v>VAR_cap</v>
          </cell>
          <cell r="C115" t="str">
            <v>-</v>
          </cell>
          <cell r="D115"/>
          <cell r="E115"/>
          <cell r="F115"/>
          <cell r="G115">
            <v>3.226657614569E-6</v>
          </cell>
          <cell r="H115">
            <v>7.5337213606059707E-6</v>
          </cell>
          <cell r="I115">
            <v>6.6200169590358697E-6</v>
          </cell>
          <cell r="J115">
            <v>3.3198916199164002E-6</v>
          </cell>
        </row>
        <row r="116">
          <cell r="A116" t="str">
            <v>D-RHEM_LTH_CHPWOD</v>
          </cell>
          <cell r="B116" t="str">
            <v>VAR_fout</v>
          </cell>
          <cell r="C116" t="str">
            <v>RHEM_LTH_CHPWOD_ON</v>
          </cell>
          <cell r="D116">
            <v>1.280516380845467E-5</v>
          </cell>
          <cell r="E116">
            <v>8.6614464769578039E-6</v>
          </cell>
          <cell r="F116">
            <v>2.7770193401476812E-6</v>
          </cell>
          <cell r="G116">
            <v>5.5194249493234385E-6</v>
          </cell>
          <cell r="H116">
            <v>3.3854888873338204E-6</v>
          </cell>
          <cell r="I116">
            <v>1.4173910891001004E-6</v>
          </cell>
          <cell r="J116">
            <v>2.4184285229702012E-7</v>
          </cell>
          <cell r="K116"/>
        </row>
        <row r="117">
          <cell r="A117" t="str">
            <v>D-RHEM_LTH_CHPWOD</v>
          </cell>
          <cell r="B117" t="str">
            <v>VAR_fout</v>
          </cell>
          <cell r="C117" t="str">
            <v>RHSA_LTH</v>
          </cell>
          <cell r="D117">
            <v>1.2543479090398055E-5</v>
          </cell>
          <cell r="E117">
            <v>1.2794385257929784E-5</v>
          </cell>
          <cell r="F117">
            <v>2.7557434784112151E-6</v>
          </cell>
          <cell r="G117">
            <v>6.8665831471341484E-6</v>
          </cell>
          <cell r="H117">
            <v>7.6119006866740223E-6</v>
          </cell>
          <cell r="I117">
            <v>9.2769561684987708E-6</v>
          </cell>
          <cell r="J117">
            <v>7.6204590402445958E-6</v>
          </cell>
        </row>
        <row r="118">
          <cell r="A118" t="str">
            <v>D-RHEM_LTH_CHPWOD</v>
          </cell>
          <cell r="B118" t="str">
            <v>VAR_fin</v>
          </cell>
          <cell r="C118" t="str">
            <v>RHEM_LTH_CHPWOD</v>
          </cell>
          <cell r="D118">
            <v>2.534864289885272E-5</v>
          </cell>
          <cell r="E118">
            <v>2.1885815925563504E-5</v>
          </cell>
          <cell r="F118">
            <v>5.8053746204522895E-6</v>
          </cell>
          <cell r="G118">
            <v>1.315647181083727E-5</v>
          </cell>
          <cell r="H118">
            <v>1.1991592475712165E-5</v>
          </cell>
          <cell r="I118">
            <v>1.162332973323883E-5</v>
          </cell>
          <cell r="J118">
            <v>8.8835640557321529E-6</v>
          </cell>
          <cell r="K118"/>
        </row>
        <row r="119">
          <cell r="A119" t="str">
            <v>RHES-SHLTHDH</v>
          </cell>
          <cell r="B119" t="str">
            <v>VAR_fout</v>
          </cell>
          <cell r="C119" t="str">
            <v>RHES-SHLTHD</v>
          </cell>
          <cell r="D119">
            <v>3.1533002878040883</v>
          </cell>
          <cell r="E119">
            <v>3.5037996345075135</v>
          </cell>
          <cell r="F119">
            <v>1.4255851572035203</v>
          </cell>
          <cell r="G119">
            <v>1.6050486406418649</v>
          </cell>
          <cell r="H119">
            <v>1.6781857720569355</v>
          </cell>
          <cell r="I119">
            <v>1.7039590077778266</v>
          </cell>
          <cell r="J119">
            <v>1.7484812439191086</v>
          </cell>
          <cell r="K119"/>
        </row>
        <row r="120">
          <cell r="A120" t="str">
            <v>RHES-SHLTHDH</v>
          </cell>
          <cell r="B120" t="str">
            <v>VAR_fin</v>
          </cell>
          <cell r="C120" t="str">
            <v>RHESLTHDHC</v>
          </cell>
          <cell r="D120">
            <v>3.1533002878040883</v>
          </cell>
          <cell r="E120">
            <v>3.5037996345075135</v>
          </cell>
          <cell r="F120">
            <v>1.4255851572035203</v>
          </cell>
          <cell r="G120">
            <v>1.6050486406418649</v>
          </cell>
          <cell r="H120">
            <v>1.6781857720569355</v>
          </cell>
          <cell r="I120">
            <v>1.7039590077778266</v>
          </cell>
          <cell r="J120">
            <v>1.7484812439191086</v>
          </cell>
          <cell r="K120"/>
        </row>
        <row r="121">
          <cell r="A121" t="str">
            <v>RHES-SHLTHDH</v>
          </cell>
          <cell r="B121" t="str">
            <v>VAR_fin</v>
          </cell>
          <cell r="C121" t="str">
            <v>RHES_LTH_DH</v>
          </cell>
          <cell r="D121">
            <v>3.1851518058627155</v>
          </cell>
          <cell r="E121">
            <v>3.5391915500075863</v>
          </cell>
          <cell r="F121">
            <v>1.5971885108083126</v>
          </cell>
          <cell r="G121">
            <v>1.7867662230163122</v>
          </cell>
          <cell r="H121">
            <v>1.8590885583086525</v>
          </cell>
          <cell r="I121">
            <v>1.8812030572676064</v>
          </cell>
          <cell r="J121">
            <v>1.9165479048903815</v>
          </cell>
          <cell r="K121"/>
        </row>
        <row r="122">
          <cell r="A122" t="str">
            <v>RHES-SHLTHDH</v>
          </cell>
          <cell r="B122" t="str">
            <v>VAR_ncap</v>
          </cell>
          <cell r="C122" t="str">
            <v>-</v>
          </cell>
          <cell r="D122"/>
          <cell r="E122">
            <v>1.33651526595467E-2</v>
          </cell>
          <cell r="F122">
            <v>1.04648502280124E-2</v>
          </cell>
          <cell r="G122">
            <v>1.6412889152502198E-2</v>
          </cell>
          <cell r="H122">
            <v>9.9283670124144206E-3</v>
          </cell>
          <cell r="I122">
            <v>8.9006424629345209E-3</v>
          </cell>
          <cell r="J122">
            <v>4.2967926186398803E-2</v>
          </cell>
          <cell r="K122"/>
        </row>
        <row r="123">
          <cell r="A123" t="str">
            <v>RHES-SHLTHDH</v>
          </cell>
          <cell r="B123" t="str">
            <v>VAR_cap</v>
          </cell>
          <cell r="C123" t="str">
            <v>-</v>
          </cell>
          <cell r="D123">
            <v>0.31204626794151202</v>
          </cell>
          <cell r="E123">
            <v>0.31278996598754538</v>
          </cell>
          <cell r="F123">
            <v>0.15793364266571311</v>
          </cell>
          <cell r="G123">
            <v>0.16664472563234434</v>
          </cell>
          <cell r="H123">
            <v>0.15566051791169674</v>
          </cell>
          <cell r="I123">
            <v>0.14317112202901822</v>
          </cell>
          <cell r="J123">
            <v>0.172687826561992</v>
          </cell>
          <cell r="K123"/>
        </row>
        <row r="124">
          <cell r="A124" t="str">
            <v>RHEM-SHCONBR3</v>
          </cell>
          <cell r="B124" t="str">
            <v>VAR_fout</v>
          </cell>
          <cell r="C124" t="str">
            <v>RHEM-SHCON</v>
          </cell>
          <cell r="D124">
            <v>1.641214319995419E-3</v>
          </cell>
          <cell r="E124">
            <v>0.97664325253871953</v>
          </cell>
          <cell r="F124">
            <v>0.6332063794024837</v>
          </cell>
          <cell r="G124">
            <v>0.97658282318158307</v>
          </cell>
          <cell r="H124">
            <v>0.97659158076814356</v>
          </cell>
          <cell r="I124">
            <v>0.9766120735899021</v>
          </cell>
          <cell r="J124">
            <v>1.54177401034107</v>
          </cell>
          <cell r="K124"/>
        </row>
        <row r="125">
          <cell r="A125" t="str">
            <v>RHEM-SHCONBR3</v>
          </cell>
          <cell r="B125" t="str">
            <v>VAR_fin</v>
          </cell>
          <cell r="C125" t="str">
            <v>CON</v>
          </cell>
          <cell r="D125">
            <v>1.641214319995419E-3</v>
          </cell>
          <cell r="E125">
            <v>0.97664325253871953</v>
          </cell>
          <cell r="F125">
            <v>0.6332063794024837</v>
          </cell>
          <cell r="G125">
            <v>0.97658282318158307</v>
          </cell>
          <cell r="H125">
            <v>0.97659158076814356</v>
          </cell>
          <cell r="I125">
            <v>0.9766120735899021</v>
          </cell>
          <cell r="J125">
            <v>1.54177401034107</v>
          </cell>
          <cell r="K125"/>
        </row>
        <row r="126">
          <cell r="A126" t="str">
            <v>RHEM-SHCONBR3</v>
          </cell>
          <cell r="B126" t="str">
            <v>VAR_ncap</v>
          </cell>
          <cell r="C126" t="str">
            <v>-</v>
          </cell>
          <cell r="D126">
            <v>3.4481500415780297E-2</v>
          </cell>
          <cell r="E126">
            <v>3.4481501763411603E-2</v>
          </cell>
          <cell r="F126"/>
          <cell r="G126">
            <v>1.5976087978346002E-8</v>
          </cell>
          <cell r="H126">
            <v>2.4399005181276701E-8</v>
          </cell>
          <cell r="I126">
            <v>3.1834050329972301E-8</v>
          </cell>
          <cell r="J126">
            <v>7.16433061178883E-2</v>
          </cell>
          <cell r="K126"/>
        </row>
        <row r="127">
          <cell r="A127" t="str">
            <v>RHEM-SHCONBR3</v>
          </cell>
          <cell r="B127" t="str">
            <v>VAR_cap</v>
          </cell>
          <cell r="C127" t="str">
            <v>-</v>
          </cell>
          <cell r="D127">
            <v>3.4481500415780297E-2</v>
          </cell>
          <cell r="E127">
            <v>6.8963002179191907E-2</v>
          </cell>
          <cell r="F127">
            <v>6.8962651518926762E-2</v>
          </cell>
          <cell r="G127">
            <v>6.8962961647638266E-2</v>
          </cell>
          <cell r="H127">
            <v>6.8962970709712842E-2</v>
          </cell>
          <cell r="I127">
            <v>6.8963015132395847E-2</v>
          </cell>
          <cell r="J127">
            <v>0.108869825049128</v>
          </cell>
        </row>
        <row r="128">
          <cell r="A128" t="str">
            <v>D-RHSA_ELC</v>
          </cell>
          <cell r="B128" t="str">
            <v>VAR_fout</v>
          </cell>
          <cell r="C128" t="str">
            <v>RHSA_ELC</v>
          </cell>
          <cell r="D128">
            <v>54.188817672183482</v>
          </cell>
          <cell r="E128">
            <v>54.946865049360966</v>
          </cell>
          <cell r="F128">
            <v>58.10417905634408</v>
          </cell>
          <cell r="G128">
            <v>58.067545705509566</v>
          </cell>
          <cell r="H128">
            <v>58.548302399272949</v>
          </cell>
          <cell r="I128">
            <v>58.965770552966468</v>
          </cell>
          <cell r="J128">
            <v>58.98651386175446</v>
          </cell>
          <cell r="K128"/>
        </row>
        <row r="129">
          <cell r="A129" t="str">
            <v>D-RHSA_ELC</v>
          </cell>
          <cell r="B129" t="str">
            <v>VAR_fin</v>
          </cell>
          <cell r="C129" t="str">
            <v>RHNS_ELC</v>
          </cell>
          <cell r="D129">
            <v>11.977418465335239</v>
          </cell>
          <cell r="E129">
            <v>14.452423540297243</v>
          </cell>
          <cell r="F129">
            <v>14.50180417847738</v>
          </cell>
          <cell r="G129">
            <v>14.393378334148748</v>
          </cell>
          <cell r="H129">
            <v>14.469814957573853</v>
          </cell>
          <cell r="I129">
            <v>14.482276876835181</v>
          </cell>
          <cell r="J129">
            <v>14.424212713198381</v>
          </cell>
          <cell r="K129"/>
        </row>
        <row r="130">
          <cell r="A130" t="str">
            <v>D-RHSA_ELC</v>
          </cell>
          <cell r="B130" t="str">
            <v>VAR_fin</v>
          </cell>
          <cell r="C130" t="str">
            <v>RHES_ELC</v>
          </cell>
          <cell r="D130">
            <v>15.817913050332479</v>
          </cell>
          <cell r="E130">
            <v>13.387726355421757</v>
          </cell>
          <cell r="F130">
            <v>13.892852734622567</v>
          </cell>
          <cell r="G130">
            <v>14.181703071418152</v>
          </cell>
          <cell r="H130">
            <v>14.455657871813786</v>
          </cell>
          <cell r="I130">
            <v>14.767191810403098</v>
          </cell>
          <cell r="J130">
            <v>15.081112848573442</v>
          </cell>
          <cell r="K130"/>
        </row>
        <row r="131">
          <cell r="A131" t="str">
            <v>D-RHSA_ELC</v>
          </cell>
          <cell r="B131" t="str">
            <v>VAR_fin</v>
          </cell>
          <cell r="C131" t="str">
            <v>RHNM_ELC</v>
          </cell>
          <cell r="D131">
            <v>11.285943161711545</v>
          </cell>
          <cell r="E131">
            <v>14.431115553179554</v>
          </cell>
          <cell r="F131">
            <v>15.507238873630548</v>
          </cell>
          <cell r="G131">
            <v>15.535645689747941</v>
          </cell>
          <cell r="H131">
            <v>15.664665382018434</v>
          </cell>
          <cell r="I131">
            <v>15.754272715348916</v>
          </cell>
          <cell r="J131">
            <v>15.733834747296861</v>
          </cell>
        </row>
        <row r="132">
          <cell r="A132" t="str">
            <v>D-RHSA_ELC</v>
          </cell>
          <cell r="B132" t="str">
            <v>VAR_fin</v>
          </cell>
          <cell r="C132" t="str">
            <v>RHEM_ELC</v>
          </cell>
          <cell r="D132">
            <v>15.107562879258133</v>
          </cell>
          <cell r="E132">
            <v>12.675609144097116</v>
          </cell>
          <cell r="F132">
            <v>14.202293820610688</v>
          </cell>
          <cell r="G132">
            <v>13.956824978138112</v>
          </cell>
          <cell r="H132">
            <v>13.958171419992425</v>
          </cell>
          <cell r="I132">
            <v>13.962037840611231</v>
          </cell>
          <cell r="J132">
            <v>13.747359385276487</v>
          </cell>
          <cell r="K132"/>
        </row>
        <row r="133">
          <cell r="A133" t="str">
            <v>SCOM-SHLTHDH</v>
          </cell>
          <cell r="B133" t="str">
            <v>VAR_fout</v>
          </cell>
          <cell r="C133" t="str">
            <v>SCOM-SHLTHD</v>
          </cell>
          <cell r="D133">
            <v>5.5539013379628575</v>
          </cell>
          <cell r="E133">
            <v>6.0159360294783326</v>
          </cell>
          <cell r="F133">
            <v>4.9302573283011286</v>
          </cell>
          <cell r="G133">
            <v>5.7793794550250759</v>
          </cell>
          <cell r="H133">
            <v>6.3102879088108068</v>
          </cell>
          <cell r="I133">
            <v>6.5940741786273085</v>
          </cell>
          <cell r="J133">
            <v>7.0167788630511243</v>
          </cell>
        </row>
        <row r="134">
          <cell r="A134" t="str">
            <v>SCOM-SHLTHDH</v>
          </cell>
          <cell r="B134" t="str">
            <v>VAR_fin</v>
          </cell>
          <cell r="C134" t="str">
            <v>SCOMLTHDHC</v>
          </cell>
          <cell r="D134">
            <v>5.5539013379628575</v>
          </cell>
          <cell r="E134">
            <v>6.0159360294783326</v>
          </cell>
          <cell r="F134">
            <v>4.9302573283011286</v>
          </cell>
          <cell r="G134">
            <v>5.7793794550250759</v>
          </cell>
          <cell r="H134">
            <v>6.3102879088108068</v>
          </cell>
          <cell r="I134">
            <v>6.5940741786273085</v>
          </cell>
          <cell r="J134">
            <v>7.0167788630511243</v>
          </cell>
          <cell r="K134"/>
        </row>
        <row r="135">
          <cell r="A135" t="str">
            <v>SCOM-SHLTHDH</v>
          </cell>
          <cell r="B135" t="str">
            <v>VAR_fin</v>
          </cell>
          <cell r="C135" t="str">
            <v>SCOM_LTH_DH</v>
          </cell>
          <cell r="D135">
            <v>5.610001351477635</v>
          </cell>
          <cell r="E135">
            <v>6.0767030600791268</v>
          </cell>
          <cell r="F135">
            <v>5.9892066213564963</v>
          </cell>
          <cell r="G135">
            <v>6.9909215167352032</v>
          </cell>
          <cell r="H135">
            <v>7.6331252968936774</v>
          </cell>
          <cell r="I135">
            <v>7.9764022101424272</v>
          </cell>
          <cell r="J135">
            <v>8.4877192635665324</v>
          </cell>
        </row>
        <row r="136">
          <cell r="A136" t="str">
            <v>SCOM-SHLTHDH</v>
          </cell>
          <cell r="B136" t="str">
            <v>VAR_ncap</v>
          </cell>
          <cell r="C136" t="str">
            <v>-</v>
          </cell>
          <cell r="D136"/>
          <cell r="E136">
            <v>1.4661801490524699E-2</v>
          </cell>
          <cell r="F136">
            <v>1.6121632499216599E-2</v>
          </cell>
          <cell r="G136">
            <v>8.4981151041109607E-2</v>
          </cell>
          <cell r="H136">
            <v>0.62555154532994495</v>
          </cell>
          <cell r="I136">
            <v>0.182622383476196</v>
          </cell>
          <cell r="J136">
            <v>0.46403434819217998</v>
          </cell>
          <cell r="K136"/>
        </row>
        <row r="137">
          <cell r="A137" t="str">
            <v>SCOM-SHLTHDH</v>
          </cell>
          <cell r="B137" t="str">
            <v>VAR_cap</v>
          </cell>
          <cell r="C137" t="str">
            <v>-</v>
          </cell>
          <cell r="D137">
            <v>0.84970025293020501</v>
          </cell>
          <cell r="E137">
            <v>0.8493609400552431</v>
          </cell>
          <cell r="F137">
            <v>0.59438204760040314</v>
          </cell>
          <cell r="G137">
            <v>0.66734883423730096</v>
          </cell>
          <cell r="H137">
            <v>0.84969971457876192</v>
          </cell>
          <cell r="I137">
            <v>0.84969947280096436</v>
          </cell>
          <cell r="J137">
            <v>0.84969984477162885</v>
          </cell>
        </row>
        <row r="138">
          <cell r="A138" t="str">
            <v>ITOT-SWHSTG-ELC</v>
          </cell>
          <cell r="B138" t="str">
            <v>VAR_fout</v>
          </cell>
          <cell r="C138" t="str">
            <v>ITOT-SWHAELC</v>
          </cell>
          <cell r="D138">
            <v>1.7092068921740272E-5</v>
          </cell>
          <cell r="E138">
            <v>7.6051531579205375E-6</v>
          </cell>
          <cell r="F138">
            <v>0.48538423813860715</v>
          </cell>
          <cell r="G138">
            <v>4.3245786317362249E-2</v>
          </cell>
          <cell r="H138">
            <v>1.1537650271600142E-2</v>
          </cell>
          <cell r="I138">
            <v>5.3818599159070661E-2</v>
          </cell>
          <cell r="J138">
            <v>0.30876215968810611</v>
          </cell>
          <cell r="K138"/>
        </row>
        <row r="139">
          <cell r="A139" t="str">
            <v>ITOT-SWHSTG-ELC</v>
          </cell>
          <cell r="B139" t="str">
            <v>VAR_fin</v>
          </cell>
          <cell r="C139" t="str">
            <v>ITOT-SWHAELC</v>
          </cell>
          <cell r="D139">
            <v>1.90740351562383E-5</v>
          </cell>
          <cell r="E139">
            <v>5.5863194084532425E-6</v>
          </cell>
          <cell r="F139">
            <v>0.62635509881391194</v>
          </cell>
          <cell r="G139">
            <v>5.4079678966922423E-2</v>
          </cell>
          <cell r="H139">
            <v>1.4017263981863258E-2</v>
          </cell>
          <cell r="I139">
            <v>6.3339682374294423E-2</v>
          </cell>
          <cell r="J139">
            <v>0.34309391039909654</v>
          </cell>
          <cell r="K139"/>
        </row>
        <row r="140">
          <cell r="A140" t="str">
            <v>ITOT-SWHSTG-ELC</v>
          </cell>
          <cell r="B140" t="str">
            <v>VAR_ncap</v>
          </cell>
          <cell r="C140" t="str">
            <v>-</v>
          </cell>
          <cell r="D140">
            <v>6.0249539891995998E-4</v>
          </cell>
          <cell r="E140">
            <v>0.17803446960583799</v>
          </cell>
          <cell r="F140">
            <v>7.3130684453831104E-3</v>
          </cell>
          <cell r="G140">
            <v>1.70350224999424E-2</v>
          </cell>
          <cell r="H140">
            <v>8.3329112042815595E-2</v>
          </cell>
          <cell r="I140">
            <v>0.12818393221277599</v>
          </cell>
          <cell r="J140">
            <v>7.6449397182522305E-2</v>
          </cell>
        </row>
        <row r="141">
          <cell r="A141" t="str">
            <v>ITOT-SWHSTG-ELC</v>
          </cell>
          <cell r="B141" t="str">
            <v>VAR_cap</v>
          </cell>
          <cell r="C141" t="str">
            <v>-</v>
          </cell>
          <cell r="D141">
            <v>6.0249539891995998E-4</v>
          </cell>
          <cell r="E141">
            <v>0.17863650109116161</v>
          </cell>
          <cell r="F141">
            <v>0.18594909391840006</v>
          </cell>
          <cell r="G141">
            <v>0.20298407121773074</v>
          </cell>
          <cell r="H141">
            <v>0.1990461144471698</v>
          </cell>
          <cell r="I141">
            <v>0.22444176059921353</v>
          </cell>
          <cell r="J141">
            <v>0.20472347878313371</v>
          </cell>
          <cell r="K141"/>
        </row>
        <row r="142">
          <cell r="A142" t="str">
            <v>D-SCOM_SOLELC</v>
          </cell>
          <cell r="B142" t="str">
            <v>VAR_fout</v>
          </cell>
          <cell r="C142" t="str">
            <v>ELC5</v>
          </cell>
          <cell r="D142">
            <v>7.8713088997547128E-4</v>
          </cell>
          <cell r="E142">
            <v>2.8442945507613443E-4</v>
          </cell>
          <cell r="F142">
            <v>3.1230137593730805E-4</v>
          </cell>
          <cell r="G142">
            <v>1.6862655544593738E-4</v>
          </cell>
          <cell r="H142">
            <v>3.1104717616974145E-4</v>
          </cell>
          <cell r="I142">
            <v>4.4190506714173919E-4</v>
          </cell>
          <cell r="J142">
            <v>1.4082435261615422E-4</v>
          </cell>
          <cell r="K142"/>
        </row>
        <row r="143">
          <cell r="A143" t="str">
            <v>D-SCOM_SOLELC</v>
          </cell>
          <cell r="B143" t="str">
            <v>VAR_fout</v>
          </cell>
          <cell r="C143" t="str">
            <v>SCOM_ELC</v>
          </cell>
          <cell r="D143">
            <v>2.8388365548819898</v>
          </cell>
          <cell r="E143">
            <v>3.2941710467323033</v>
          </cell>
          <cell r="F143">
            <v>9.9662063374918102</v>
          </cell>
          <cell r="G143">
            <v>10.737521975402037</v>
          </cell>
          <cell r="H143">
            <v>11.285061870999641</v>
          </cell>
          <cell r="I143">
            <v>11.860617584688994</v>
          </cell>
          <cell r="J143">
            <v>13.068916124907052</v>
          </cell>
          <cell r="K143"/>
        </row>
        <row r="144">
          <cell r="A144" t="str">
            <v>D-SCOM_SOLELC</v>
          </cell>
          <cell r="B144" t="str">
            <v>VAR_fin</v>
          </cell>
          <cell r="C144" t="str">
            <v>SCOM_SOL_ELC</v>
          </cell>
          <cell r="D144">
            <v>2.8396236857719668</v>
          </cell>
          <cell r="E144">
            <v>3.2944550867381746</v>
          </cell>
          <cell r="F144">
            <v>9.9665186388677487</v>
          </cell>
          <cell r="G144">
            <v>10.737690601957468</v>
          </cell>
          <cell r="H144">
            <v>11.285372918175815</v>
          </cell>
          <cell r="I144">
            <v>11.861059489756132</v>
          </cell>
          <cell r="J144">
            <v>13.069056949259668</v>
          </cell>
          <cell r="K144"/>
        </row>
        <row r="145">
          <cell r="A145" t="str">
            <v>D-ILFO</v>
          </cell>
          <cell r="B145" t="str">
            <v>VAR_fout</v>
          </cell>
          <cell r="C145" t="str">
            <v>CO2</v>
          </cell>
          <cell r="D145">
            <v>688.81204010383703</v>
          </cell>
          <cell r="E145">
            <v>659.57576137618003</v>
          </cell>
          <cell r="F145">
            <v>621.78805166626796</v>
          </cell>
          <cell r="G145">
            <v>485.17533603775701</v>
          </cell>
          <cell r="H145">
            <v>323.19768338091899</v>
          </cell>
          <cell r="I145">
            <v>149.26680807308901</v>
          </cell>
          <cell r="J145">
            <v>4.6622025871946703E-3</v>
          </cell>
          <cell r="K145"/>
        </row>
        <row r="146">
          <cell r="A146" t="str">
            <v>D-ILFO</v>
          </cell>
          <cell r="B146" t="str">
            <v>VAR_fout</v>
          </cell>
          <cell r="C146" t="str">
            <v>ILFO</v>
          </cell>
          <cell r="D146">
            <v>9.1900688778251229</v>
          </cell>
          <cell r="E146">
            <v>8.8000010514875449</v>
          </cell>
          <cell r="F146">
            <v>8.2958656740706544</v>
          </cell>
          <cell r="G146">
            <v>7.372668259312972</v>
          </cell>
          <cell r="H146">
            <v>5.6394988727205613</v>
          </cell>
          <cell r="I146">
            <v>3.3189635157494011</v>
          </cell>
          <cell r="J146">
            <v>1.3275329366062147</v>
          </cell>
          <cell r="K146"/>
        </row>
        <row r="147">
          <cell r="A147" t="str">
            <v>D-ILFO</v>
          </cell>
          <cell r="B147" t="str">
            <v>VAR_fin</v>
          </cell>
          <cell r="C147" t="str">
            <v>LFO</v>
          </cell>
          <cell r="D147">
            <v>9.3461606526979164</v>
          </cell>
          <cell r="E147">
            <v>8.949467589907476</v>
          </cell>
          <cell r="F147">
            <v>8.4367442559873496</v>
          </cell>
          <cell r="G147">
            <v>6.5831117508515149</v>
          </cell>
          <cell r="H147">
            <v>4.3853145641915754</v>
          </cell>
          <cell r="I147">
            <v>2.0253298246009388</v>
          </cell>
          <cell r="J147">
            <v>6.325919385610135E-5</v>
          </cell>
          <cell r="K147"/>
        </row>
        <row r="148">
          <cell r="A148" t="str">
            <v>D-ILFO</v>
          </cell>
          <cell r="B148" t="str">
            <v>VAR_fin</v>
          </cell>
          <cell r="C148" t="str">
            <v>BDS</v>
          </cell>
          <cell r="D148"/>
          <cell r="E148"/>
          <cell r="F148">
            <v>2.5536296910440435E-5</v>
          </cell>
          <cell r="G148">
            <v>0.9147804299779575</v>
          </cell>
          <cell r="H148">
            <v>1.3499704719539534</v>
          </cell>
          <cell r="I148">
            <v>1.3500059516592868</v>
          </cell>
          <cell r="J148">
            <v>1.3500177163888791</v>
          </cell>
          <cell r="K148"/>
        </row>
        <row r="149">
          <cell r="A149" t="str">
            <v>RHEM-SHSTG-NGAHP</v>
          </cell>
          <cell r="B149" t="str">
            <v>VAR_fout</v>
          </cell>
          <cell r="C149" t="str">
            <v>AUX_RHEM-SHSTG-NGAHP_OUT</v>
          </cell>
          <cell r="D149"/>
          <cell r="E149"/>
          <cell r="F149">
            <v>0.19649525944422799</v>
          </cell>
          <cell r="G149">
            <v>0.47229669015255071</v>
          </cell>
          <cell r="H149">
            <v>0.58190567022399686</v>
          </cell>
          <cell r="I149">
            <v>0.63437262888464441</v>
          </cell>
          <cell r="J149">
            <v>0.79423129590577002</v>
          </cell>
          <cell r="K149"/>
        </row>
        <row r="150">
          <cell r="A150" t="str">
            <v>RHEM-SHSTG-NGAHP</v>
          </cell>
          <cell r="B150" t="str">
            <v>VAR_fout</v>
          </cell>
          <cell r="C150" t="str">
            <v>RHEM-SHANGAH</v>
          </cell>
          <cell r="D150"/>
          <cell r="E150"/>
          <cell r="F150">
            <v>0.19629896048374415</v>
          </cell>
          <cell r="G150">
            <v>0.47182486528726364</v>
          </cell>
          <cell r="H150">
            <v>0.5813243458781191</v>
          </cell>
          <cell r="I150">
            <v>0.63373888999465045</v>
          </cell>
          <cell r="J150">
            <v>0.7934378580477226</v>
          </cell>
          <cell r="K150"/>
        </row>
        <row r="151">
          <cell r="A151" t="str">
            <v>RHEM-SHSTG-NGAHP</v>
          </cell>
          <cell r="B151" t="str">
            <v>VAR_fin</v>
          </cell>
          <cell r="C151" t="str">
            <v>RHEM-SHANGAH</v>
          </cell>
          <cell r="D151"/>
          <cell r="E151"/>
          <cell r="F151">
            <v>0.19631270650924931</v>
          </cell>
          <cell r="G151">
            <v>0.47183829077194739</v>
          </cell>
          <cell r="H151">
            <v>0.58133178446988476</v>
          </cell>
          <cell r="I151">
            <v>0.63374576401758798</v>
          </cell>
          <cell r="J151">
            <v>0.79344468619927633</v>
          </cell>
          <cell r="K151"/>
        </row>
        <row r="152">
          <cell r="A152" t="str">
            <v>RHEM-SHSTG-NGAHP</v>
          </cell>
          <cell r="B152" t="str">
            <v>VAR_ncap</v>
          </cell>
          <cell r="C152" t="str">
            <v>-</v>
          </cell>
          <cell r="D152">
            <v>3.5386092097920598E-6</v>
          </cell>
          <cell r="E152">
            <v>3.9301994897111699E-6</v>
          </cell>
          <cell r="F152">
            <v>3.2994587822012797E-2</v>
          </cell>
          <cell r="G152">
            <v>3.69285011949625E-2</v>
          </cell>
          <cell r="H152">
            <v>2.3443322583706801E-2</v>
          </cell>
          <cell r="I152">
            <v>5.8380913194165197E-2</v>
          </cell>
          <cell r="J152">
            <v>9.9870448292785796E-2</v>
          </cell>
          <cell r="K152"/>
        </row>
        <row r="153">
          <cell r="A153" t="str">
            <v>RHEM-SHSTG-NGAHP</v>
          </cell>
          <cell r="B153" t="str">
            <v>VAR_cap</v>
          </cell>
          <cell r="C153" t="str">
            <v>-</v>
          </cell>
          <cell r="D153">
            <v>3.5386092097920598E-6</v>
          </cell>
          <cell r="E153">
            <v>9.1560032578258939E-7</v>
          </cell>
          <cell r="F153">
            <v>3.2993360771443825E-2</v>
          </cell>
          <cell r="G153">
            <v>6.9917786765696932E-2</v>
          </cell>
          <cell r="H153">
            <v>9.3347536776190856E-2</v>
          </cell>
          <cell r="I153">
            <v>0.1128633620371649</v>
          </cell>
          <cell r="J153">
            <v>0.15213843633182653</v>
          </cell>
        </row>
        <row r="154">
          <cell r="A154" t="str">
            <v>RHEM-SHCONBR4</v>
          </cell>
          <cell r="B154" t="str">
            <v>VAR_fout</v>
          </cell>
          <cell r="C154" t="str">
            <v>RHEM-SHCON</v>
          </cell>
          <cell r="D154">
            <v>1.6464008463788224E-3</v>
          </cell>
          <cell r="E154">
            <v>0.87829184768170954</v>
          </cell>
          <cell r="F154">
            <v>0.56089111812289072</v>
          </cell>
          <cell r="G154">
            <v>0.87823170371025638</v>
          </cell>
          <cell r="H154">
            <v>0.8782402234174953</v>
          </cell>
          <cell r="I154">
            <v>0.87826030165506441</v>
          </cell>
          <cell r="J154">
            <v>0.4815928093313887</v>
          </cell>
        </row>
        <row r="155">
          <cell r="A155" t="str">
            <v>RHEM-SHCONBR4</v>
          </cell>
          <cell r="B155" t="str">
            <v>VAR_fin</v>
          </cell>
          <cell r="C155" t="str">
            <v>CON</v>
          </cell>
          <cell r="D155">
            <v>1.6464008463788224E-3</v>
          </cell>
          <cell r="E155">
            <v>0.87829184768170954</v>
          </cell>
          <cell r="F155">
            <v>0.56089111812289072</v>
          </cell>
          <cell r="G155">
            <v>0.87823170371025638</v>
          </cell>
          <cell r="H155">
            <v>0.8782402234174953</v>
          </cell>
          <cell r="I155">
            <v>0.87826030165506441</v>
          </cell>
          <cell r="J155">
            <v>0.4815928093313887</v>
          </cell>
        </row>
        <row r="156">
          <cell r="A156" t="str">
            <v>RHEM-SHCONBR4</v>
          </cell>
          <cell r="B156" t="str">
            <v>VAR_ncap</v>
          </cell>
          <cell r="C156" t="str">
            <v>-</v>
          </cell>
          <cell r="D156">
            <v>2.41020399405261E-2</v>
          </cell>
          <cell r="E156">
            <v>3.7916020292835098E-2</v>
          </cell>
          <cell r="F156"/>
          <cell r="G156"/>
          <cell r="H156">
            <v>1.0151659197744299E-8</v>
          </cell>
          <cell r="I156">
            <v>1.3879370362442E-8</v>
          </cell>
          <cell r="J156">
            <v>3.1554914785425401E-8</v>
          </cell>
          <cell r="K156"/>
        </row>
        <row r="157">
          <cell r="A157" t="str">
            <v>RHEM-SHCONBR4</v>
          </cell>
          <cell r="B157" t="str">
            <v>VAR_cap</v>
          </cell>
          <cell r="C157" t="str">
            <v>-</v>
          </cell>
          <cell r="D157">
            <v>2.41020399405261E-2</v>
          </cell>
          <cell r="E157">
            <v>6.2018060233361101E-2</v>
          </cell>
          <cell r="F157">
            <v>6.2017710993741662E-2</v>
          </cell>
          <cell r="G157">
            <v>6.2018004103759974E-2</v>
          </cell>
          <cell r="H157">
            <v>6.2017998992982513E-2</v>
          </cell>
          <cell r="I157">
            <v>6.2018025320615171E-2</v>
          </cell>
          <cell r="J157">
            <v>3.4006646689131198E-2</v>
          </cell>
        </row>
        <row r="158">
          <cell r="A158" t="str">
            <v>RHNM-SHCONBR</v>
          </cell>
          <cell r="B158" t="str">
            <v>VAR_fout</v>
          </cell>
          <cell r="C158" t="str">
            <v>RHNM-SHCON</v>
          </cell>
          <cell r="D158"/>
          <cell r="E158"/>
          <cell r="F158">
            <v>4.2816016009003711E-4</v>
          </cell>
          <cell r="G158">
            <v>4.1859734224942649E-4</v>
          </cell>
          <cell r="H158">
            <v>5.5763599160472933E-4</v>
          </cell>
          <cell r="I158">
            <v>9.580060797076486E-3</v>
          </cell>
          <cell r="J158">
            <v>0.13187928490607156</v>
          </cell>
        </row>
        <row r="159">
          <cell r="A159" t="str">
            <v>RHNM-SHCONBR</v>
          </cell>
          <cell r="B159" t="str">
            <v>VAR_fin</v>
          </cell>
          <cell r="C159" t="str">
            <v>CON</v>
          </cell>
          <cell r="D159"/>
          <cell r="E159"/>
          <cell r="F159">
            <v>4.2816016009003711E-4</v>
          </cell>
          <cell r="G159">
            <v>4.1859734224942649E-4</v>
          </cell>
          <cell r="H159">
            <v>5.5763599160472933E-4</v>
          </cell>
          <cell r="I159">
            <v>9.580060797076486E-3</v>
          </cell>
          <cell r="J159">
            <v>0.13187928490607156</v>
          </cell>
          <cell r="K159"/>
        </row>
        <row r="160">
          <cell r="A160" t="str">
            <v>RHNM-SHCONBR</v>
          </cell>
          <cell r="B160" t="str">
            <v>VAR_ncap</v>
          </cell>
          <cell r="C160" t="str">
            <v>-</v>
          </cell>
          <cell r="D160"/>
          <cell r="E160"/>
          <cell r="F160">
            <v>3.1396648436190101E-5</v>
          </cell>
          <cell r="G160">
            <v>2.56955397576078E-8</v>
          </cell>
          <cell r="H160">
            <v>1.0477087952782799E-5</v>
          </cell>
          <cell r="I160">
            <v>6.9931257312724098E-4</v>
          </cell>
          <cell r="J160">
            <v>9.4789529453342992E-3</v>
          </cell>
          <cell r="K160"/>
        </row>
        <row r="161">
          <cell r="A161" t="str">
            <v>RHNM-SHCONBR</v>
          </cell>
          <cell r="B161" t="str">
            <v>VAR_cap</v>
          </cell>
          <cell r="C161" t="str">
            <v>-</v>
          </cell>
          <cell r="D161"/>
          <cell r="E161"/>
          <cell r="F161">
            <v>3.1396648436190101E-5</v>
          </cell>
          <cell r="G161">
            <v>3.1422343975947699E-5</v>
          </cell>
          <cell r="H161">
            <v>4.18994319287305E-5</v>
          </cell>
          <cell r="I161">
            <v>7.4121200505597202E-4</v>
          </cell>
          <cell r="J161">
            <v>1.02201649503903E-2</v>
          </cell>
          <cell r="K161"/>
        </row>
        <row r="162">
          <cell r="A162" t="str">
            <v>RHEM-SHCONBR5</v>
          </cell>
          <cell r="B162" t="str">
            <v>VAR_fout</v>
          </cell>
          <cell r="C162" t="str">
            <v>RHEM-SHCON</v>
          </cell>
          <cell r="D162">
            <v>6.0684876820328377E-5</v>
          </cell>
          <cell r="E162">
            <v>0.59578593810546832</v>
          </cell>
          <cell r="F162">
            <v>0.36660630608372052</v>
          </cell>
          <cell r="G162">
            <v>0.59572611911298645</v>
          </cell>
          <cell r="H162">
            <v>0.59573456003547987</v>
          </cell>
          <cell r="I162">
            <v>0.59575446694872636</v>
          </cell>
          <cell r="J162">
            <v>0.34441522019467147</v>
          </cell>
        </row>
        <row r="163">
          <cell r="A163" t="str">
            <v>RHEM-SHCONBR5</v>
          </cell>
          <cell r="B163" t="str">
            <v>VAR_fin</v>
          </cell>
          <cell r="C163" t="str">
            <v>CON</v>
          </cell>
          <cell r="D163">
            <v>6.0684876820328377E-5</v>
          </cell>
          <cell r="E163">
            <v>0.59578593810546832</v>
          </cell>
          <cell r="F163">
            <v>0.36660630608372052</v>
          </cell>
          <cell r="G163">
            <v>0.59572611911298645</v>
          </cell>
          <cell r="H163">
            <v>0.59573456003547987</v>
          </cell>
          <cell r="I163">
            <v>0.59575446694872636</v>
          </cell>
          <cell r="J163">
            <v>0.34441522019467147</v>
          </cell>
        </row>
        <row r="164">
          <cell r="A164" t="str">
            <v>RHEM-SHCONBR5</v>
          </cell>
          <cell r="B164" t="str">
            <v>VAR_ncap</v>
          </cell>
          <cell r="C164" t="str">
            <v>-</v>
          </cell>
          <cell r="D164">
            <v>4.0565266710275497E-6</v>
          </cell>
          <cell r="E164">
            <v>4.2065258403251801E-2</v>
          </cell>
          <cell r="F164"/>
          <cell r="G164"/>
          <cell r="H164"/>
          <cell r="I164">
            <v>1.1584398895509501E-8</v>
          </cell>
          <cell r="J164">
            <v>2.4006034255739901E-8</v>
          </cell>
          <cell r="K164"/>
        </row>
        <row r="165">
          <cell r="A165" t="str">
            <v>RHEM-SHCONBR5</v>
          </cell>
          <cell r="B165" t="str">
            <v>VAR_cap</v>
          </cell>
          <cell r="C165" t="str">
            <v>-</v>
          </cell>
          <cell r="D165">
            <v>4.0565266710275497E-6</v>
          </cell>
          <cell r="E165">
            <v>4.2069314929922899E-2</v>
          </cell>
          <cell r="F165">
            <v>4.2068969246662563E-2</v>
          </cell>
          <cell r="G165">
            <v>4.2069259018521168E-2</v>
          </cell>
          <cell r="H165">
            <v>4.2069243795430429E-2</v>
          </cell>
          <cell r="I165">
            <v>4.2069267731139247E-2</v>
          </cell>
          <cell r="J165">
            <v>2.4320039379832899E-2</v>
          </cell>
        </row>
        <row r="166">
          <cell r="A166" t="str">
            <v>ITOT-SWHNGABR</v>
          </cell>
          <cell r="B166" t="str">
            <v>VAR_fout</v>
          </cell>
          <cell r="C166" t="str">
            <v>ITOT-SWH</v>
          </cell>
          <cell r="D166">
            <v>28.619769183654057</v>
          </cell>
          <cell r="E166">
            <v>25.940130340218875</v>
          </cell>
          <cell r="F166">
            <v>27.129610248367513</v>
          </cell>
          <cell r="G166">
            <v>25.057325745743384</v>
          </cell>
          <cell r="H166">
            <v>22.541013213190052</v>
          </cell>
          <cell r="I166">
            <v>15.056121426342642</v>
          </cell>
          <cell r="J166">
            <v>8.8109094701350106</v>
          </cell>
          <cell r="K166"/>
        </row>
        <row r="167">
          <cell r="A167" t="str">
            <v>ITOT-SWHNGABR</v>
          </cell>
          <cell r="B167" t="str">
            <v>VAR_fout</v>
          </cell>
          <cell r="C167" t="str">
            <v>CO2_I</v>
          </cell>
          <cell r="D167">
            <v>2005.1531709353901</v>
          </cell>
          <cell r="E167">
            <v>1815.82339148046</v>
          </cell>
          <cell r="F167">
            <v>1896.59966103585</v>
          </cell>
          <cell r="G167">
            <v>1747.9121084399501</v>
          </cell>
          <cell r="H167">
            <v>1568.9645289621101</v>
          </cell>
          <cell r="I167">
            <v>1045.7061746337699</v>
          </cell>
          <cell r="J167">
            <v>609.30840552495204</v>
          </cell>
          <cell r="K167"/>
        </row>
        <row r="168">
          <cell r="A168" t="str">
            <v>ITOT-SWHNGABR</v>
          </cell>
          <cell r="B168" t="str">
            <v>VAR_fin</v>
          </cell>
          <cell r="C168" t="str">
            <v>INGA</v>
          </cell>
          <cell r="D168">
            <v>35.552361186797583</v>
          </cell>
          <cell r="E168">
            <v>32.19545020355428</v>
          </cell>
          <cell r="F168">
            <v>33.627653564465433</v>
          </cell>
          <cell r="G168">
            <v>30.991349440424646</v>
          </cell>
          <cell r="H168">
            <v>27.818520017058646</v>
          </cell>
          <cell r="I168">
            <v>18.540889621166073</v>
          </cell>
          <cell r="J168">
            <v>10.803340523492054</v>
          </cell>
        </row>
        <row r="169">
          <cell r="A169" t="str">
            <v>ITOT-SWHNGABR</v>
          </cell>
          <cell r="B169" t="str">
            <v>VAR_ncap</v>
          </cell>
          <cell r="C169" t="str">
            <v>-</v>
          </cell>
          <cell r="D169"/>
          <cell r="E169">
            <v>7.00391732101976E-6</v>
          </cell>
          <cell r="F169">
            <v>3.93061074108852E-6</v>
          </cell>
          <cell r="G169">
            <v>3.9616665695531497E-6</v>
          </cell>
          <cell r="H169">
            <v>0.88064044839543898</v>
          </cell>
          <cell r="I169">
            <v>2.0862116959649099E-4</v>
          </cell>
          <cell r="J169">
            <v>0.16908243612009399</v>
          </cell>
          <cell r="K169"/>
        </row>
        <row r="170">
          <cell r="A170" t="str">
            <v>ITOT-SWHNGABR</v>
          </cell>
          <cell r="B170" t="str">
            <v>VAR_cap</v>
          </cell>
          <cell r="C170" t="str">
            <v>-</v>
          </cell>
          <cell r="D170">
            <v>1.556581895256</v>
          </cell>
          <cell r="E170">
            <v>1.5565834352700809</v>
          </cell>
          <cell r="F170">
            <v>1.5565800858625014</v>
          </cell>
          <cell r="G170">
            <v>1.5565644600770945</v>
          </cell>
          <cell r="H170">
            <v>1.2843109891282094</v>
          </cell>
          <cell r="I170">
            <v>0.88084790560812687</v>
          </cell>
          <cell r="J170">
            <v>0.54173587677145374</v>
          </cell>
        </row>
        <row r="171">
          <cell r="A171" t="str">
            <v>RHNM-SHSOLBR</v>
          </cell>
          <cell r="B171" t="str">
            <v>VAR_fout</v>
          </cell>
          <cell r="C171" t="str">
            <v>RHNM-SHASOL</v>
          </cell>
          <cell r="D171"/>
          <cell r="E171">
            <v>2.1539972101048348E-2</v>
          </cell>
          <cell r="F171">
            <v>1.416457234881488E-5</v>
          </cell>
          <cell r="G171">
            <v>2.3411718601698674E-5</v>
          </cell>
          <cell r="H171">
            <v>3.2274531745592372E-5</v>
          </cell>
          <cell r="I171">
            <v>4.4328123821396793E-5</v>
          </cell>
          <cell r="J171">
            <v>1.8533171506890709E-4</v>
          </cell>
        </row>
        <row r="172">
          <cell r="A172" t="str">
            <v>RHNM-SHSOLBR</v>
          </cell>
          <cell r="B172" t="str">
            <v>VAR_fin</v>
          </cell>
          <cell r="C172" t="str">
            <v>SOL</v>
          </cell>
          <cell r="D172"/>
          <cell r="E172">
            <v>2.1539972101048348E-2</v>
          </cell>
          <cell r="F172">
            <v>1.416457234881488E-5</v>
          </cell>
          <cell r="G172">
            <v>2.3411718601698674E-5</v>
          </cell>
          <cell r="H172">
            <v>3.2274531745592372E-5</v>
          </cell>
          <cell r="I172">
            <v>4.4328123821396793E-5</v>
          </cell>
          <cell r="J172">
            <v>1.8533171506890709E-4</v>
          </cell>
        </row>
        <row r="173">
          <cell r="A173" t="str">
            <v>RHNM-SHSOLBR</v>
          </cell>
          <cell r="B173" t="str">
            <v>VAR_ncap</v>
          </cell>
          <cell r="C173" t="str">
            <v>-</v>
          </cell>
          <cell r="D173"/>
          <cell r="E173">
            <v>3.1331151100369502E-3</v>
          </cell>
          <cell r="F173">
            <v>2.6961043421274601E-7</v>
          </cell>
          <cell r="G173">
            <v>5.0031865081955202E-7</v>
          </cell>
          <cell r="H173">
            <v>5.6662878251677703E-5</v>
          </cell>
          <cell r="I173">
            <v>2.3408183919254102E-6</v>
          </cell>
          <cell r="J173">
            <v>2.7154845837483999E-5</v>
          </cell>
        </row>
        <row r="174">
          <cell r="A174" t="str">
            <v>RHNM-SHSOLBR</v>
          </cell>
          <cell r="B174" t="str">
            <v>VAR_cap</v>
          </cell>
          <cell r="C174" t="str">
            <v>-</v>
          </cell>
          <cell r="D174"/>
          <cell r="E174">
            <v>3.1331151100369502E-3</v>
          </cell>
          <cell r="F174">
            <v>3.2432760797744022E-4</v>
          </cell>
          <cell r="G174">
            <v>2.986021404870298E-4</v>
          </cell>
          <cell r="H174">
            <v>2.1186866530201989E-4</v>
          </cell>
          <cell r="I174">
            <v>5.9241314614155255E-5</v>
          </cell>
          <cell r="J174">
            <v>5.2745893736014243E-5</v>
          </cell>
        </row>
        <row r="175">
          <cell r="A175" t="str">
            <v>RHEM-SHPLTBR</v>
          </cell>
          <cell r="B175" t="str">
            <v>VAR_fout</v>
          </cell>
          <cell r="C175" t="str">
            <v>RHEM-SHPLT</v>
          </cell>
          <cell r="D175">
            <v>1.401128848752897</v>
          </cell>
          <cell r="E175">
            <v>1.6077983069827604</v>
          </cell>
          <cell r="F175">
            <v>0.28342796058192843</v>
          </cell>
          <cell r="G175">
            <v>0.43175300830112617</v>
          </cell>
          <cell r="H175">
            <v>0.50384162308289315</v>
          </cell>
          <cell r="I175">
            <v>0.56881149312188695</v>
          </cell>
          <cell r="J175">
            <v>0.66585034228697471</v>
          </cell>
        </row>
        <row r="176">
          <cell r="A176" t="str">
            <v>RHEM-SHPLTBR</v>
          </cell>
          <cell r="B176" t="str">
            <v>VAR_fin</v>
          </cell>
          <cell r="C176" t="str">
            <v>RHEMPLTBRC</v>
          </cell>
          <cell r="D176">
            <v>1.401128848752897</v>
          </cell>
          <cell r="E176">
            <v>1.6077983069827604</v>
          </cell>
          <cell r="F176">
            <v>0.28342796058192843</v>
          </cell>
          <cell r="G176">
            <v>0.43175300830112617</v>
          </cell>
          <cell r="H176">
            <v>0.50384162308289315</v>
          </cell>
          <cell r="I176">
            <v>0.56881149312188695</v>
          </cell>
          <cell r="J176">
            <v>0.66585034228697471</v>
          </cell>
        </row>
        <row r="177">
          <cell r="A177" t="str">
            <v>RHEM-SHPLTBR</v>
          </cell>
          <cell r="B177" t="str">
            <v>VAR_fin</v>
          </cell>
          <cell r="C177" t="str">
            <v>RPLT</v>
          </cell>
          <cell r="D177">
            <v>1.5568098319476646</v>
          </cell>
          <cell r="E177">
            <v>1.7864425633141785</v>
          </cell>
          <cell r="F177">
            <v>0.38477477714873343</v>
          </cell>
          <cell r="G177">
            <v>0.5820425504621024</v>
          </cell>
          <cell r="H177">
            <v>0.6769508856044425</v>
          </cell>
          <cell r="I177">
            <v>0.76349361472220545</v>
          </cell>
          <cell r="J177">
            <v>0.88780624961855614</v>
          </cell>
        </row>
        <row r="178">
          <cell r="A178" t="str">
            <v>RHEM-SHPLTBR</v>
          </cell>
          <cell r="B178" t="str">
            <v>VAR_ncap</v>
          </cell>
          <cell r="C178" t="str">
            <v>-</v>
          </cell>
          <cell r="D178">
            <v>3.7991799592735201E-7</v>
          </cell>
          <cell r="E178">
            <v>1.47085371093472E-2</v>
          </cell>
          <cell r="F178">
            <v>2.6215492250716099E-8</v>
          </cell>
          <cell r="G178">
            <v>1.5439334580779399E-7</v>
          </cell>
          <cell r="H178">
            <v>2.0357284994722499E-2</v>
          </cell>
          <cell r="I178">
            <v>2.0085734792521501E-2</v>
          </cell>
          <cell r="J178">
            <v>2.3895959974130701E-2</v>
          </cell>
        </row>
        <row r="179">
          <cell r="A179" t="str">
            <v>RHEM-SHPLTBR</v>
          </cell>
          <cell r="B179" t="str">
            <v>VAR_cap</v>
          </cell>
          <cell r="C179" t="str">
            <v>-</v>
          </cell>
          <cell r="D179">
            <v>9.9699436038276523E-2</v>
          </cell>
          <cell r="E179">
            <v>0.1144079602048608</v>
          </cell>
          <cell r="F179">
            <v>4.4394206894561389E-2</v>
          </cell>
          <cell r="G179">
            <v>4.43941964372533E-2</v>
          </cell>
          <cell r="H179">
            <v>3.5591494931178899E-2</v>
          </cell>
          <cell r="I179">
            <v>4.0443048437813829E-2</v>
          </cell>
          <cell r="J179">
            <v>4.7083829897953088E-2</v>
          </cell>
        </row>
        <row r="180">
          <cell r="A180" t="str">
            <v>RHEM-SHCONBR6</v>
          </cell>
          <cell r="B180" t="str">
            <v>VAR_fout</v>
          </cell>
          <cell r="C180" t="str">
            <v>RHEM-SHCON</v>
          </cell>
          <cell r="D180"/>
          <cell r="E180">
            <v>5.3645593875303074E-4</v>
          </cell>
          <cell r="F180">
            <v>2.7901956839776991E-4</v>
          </cell>
          <cell r="G180">
            <v>4.9448704323566499E-4</v>
          </cell>
          <cell r="H180">
            <v>5.0343072665170888E-4</v>
          </cell>
          <cell r="I180">
            <v>5.1266541595990892E-4</v>
          </cell>
          <cell r="J180">
            <v>3.0729654723492543E-4</v>
          </cell>
          <cell r="K180"/>
        </row>
        <row r="181">
          <cell r="A181" t="str">
            <v>RHEM-SHCONBR6</v>
          </cell>
          <cell r="B181" t="str">
            <v>VAR_fin</v>
          </cell>
          <cell r="C181" t="str">
            <v>CON</v>
          </cell>
          <cell r="D181"/>
          <cell r="E181">
            <v>5.3645593875303074E-4</v>
          </cell>
          <cell r="F181">
            <v>2.7901956839776991E-4</v>
          </cell>
          <cell r="G181">
            <v>4.9448704323566499E-4</v>
          </cell>
          <cell r="H181">
            <v>5.0343072665170888E-4</v>
          </cell>
          <cell r="I181">
            <v>5.1266541595990892E-4</v>
          </cell>
          <cell r="J181">
            <v>3.0729654723492543E-4</v>
          </cell>
        </row>
        <row r="182">
          <cell r="A182" t="str">
            <v>RHEM-SHCONBR6</v>
          </cell>
          <cell r="B182" t="str">
            <v>VAR_ncap</v>
          </cell>
          <cell r="C182" t="str">
            <v>-</v>
          </cell>
          <cell r="D182"/>
          <cell r="E182">
            <v>3.6702815284586101E-5</v>
          </cell>
          <cell r="F182"/>
          <cell r="G182"/>
          <cell r="H182"/>
          <cell r="I182"/>
          <cell r="J182">
            <v>1.25376017118553E-8</v>
          </cell>
        </row>
        <row r="183">
          <cell r="A183" t="str">
            <v>RHEM-SHCONBR6</v>
          </cell>
          <cell r="B183" t="str">
            <v>VAR_cap</v>
          </cell>
          <cell r="C183" t="str">
            <v>-</v>
          </cell>
          <cell r="D183"/>
          <cell r="E183">
            <v>3.6702815284586101E-5</v>
          </cell>
          <cell r="F183">
            <v>3.6643023531044017E-5</v>
          </cell>
          <cell r="G183">
            <v>3.6674267046426051E-5</v>
          </cell>
          <cell r="H183">
            <v>3.665518892224242E-5</v>
          </cell>
          <cell r="I183">
            <v>3.6660297407077926E-5</v>
          </cell>
          <cell r="J183">
            <v>2.1230473104580301E-5</v>
          </cell>
        </row>
        <row r="184">
          <cell r="A184" t="str">
            <v>RHEM-SHCONBR7</v>
          </cell>
          <cell r="B184" t="str">
            <v>VAR_fout</v>
          </cell>
          <cell r="C184" t="str">
            <v>RHEM-SHCON</v>
          </cell>
          <cell r="D184"/>
          <cell r="E184">
            <v>9.5453173872951785E-5</v>
          </cell>
          <cell r="F184">
            <v>5.8504171427929985E-5</v>
          </cell>
          <cell r="G184">
            <v>7.6703577925007967E-5</v>
          </cell>
          <cell r="H184">
            <v>8.4082255055501918E-5</v>
          </cell>
          <cell r="I184">
            <v>8.5053197392071926E-5</v>
          </cell>
          <cell r="J184">
            <v>5.6107011705453044E-5</v>
          </cell>
        </row>
        <row r="185">
          <cell r="A185" t="str">
            <v>RHEM-SHCONBR7</v>
          </cell>
          <cell r="B185" t="str">
            <v>VAR_fin</v>
          </cell>
          <cell r="C185" t="str">
            <v>CON</v>
          </cell>
          <cell r="D185"/>
          <cell r="E185">
            <v>9.5453173872951785E-5</v>
          </cell>
          <cell r="F185">
            <v>5.8504171427929985E-5</v>
          </cell>
          <cell r="G185">
            <v>7.6703577925007967E-5</v>
          </cell>
          <cell r="H185">
            <v>8.4082255055501918E-5</v>
          </cell>
          <cell r="I185">
            <v>8.5053197392071926E-5</v>
          </cell>
          <cell r="J185">
            <v>5.6107011705453044E-5</v>
          </cell>
        </row>
        <row r="186">
          <cell r="A186" t="str">
            <v>RHEM-SHCONBR7</v>
          </cell>
          <cell r="B186" t="str">
            <v>VAR_ncap</v>
          </cell>
          <cell r="C186" t="str">
            <v>-</v>
          </cell>
          <cell r="D186"/>
          <cell r="E186">
            <v>5.5616355274238799E-6</v>
          </cell>
          <cell r="F186"/>
          <cell r="G186"/>
          <cell r="H186"/>
          <cell r="I186"/>
          <cell r="J186">
            <v>1.1289680779204399E-8</v>
          </cell>
          <cell r="K186"/>
        </row>
        <row r="187">
          <cell r="A187" t="str">
            <v>RHEM-SHCONBR7</v>
          </cell>
          <cell r="B187" t="str">
            <v>VAR_cap</v>
          </cell>
          <cell r="C187" t="str">
            <v>-</v>
          </cell>
          <cell r="D187"/>
          <cell r="E187">
            <v>5.5616355274238799E-6</v>
          </cell>
          <cell r="F187">
            <v>5.5449487340921123E-6</v>
          </cell>
          <cell r="G187">
            <v>5.5616355274238799E-6</v>
          </cell>
          <cell r="H187">
            <v>5.5406612382303239E-6</v>
          </cell>
          <cell r="I187">
            <v>5.5616355274238799E-6</v>
          </cell>
          <cell r="J187">
            <v>3.2264769353901699E-6</v>
          </cell>
          <cell r="K187"/>
        </row>
        <row r="188">
          <cell r="A188" t="str">
            <v>RHEM-SHCONBR8</v>
          </cell>
          <cell r="B188" t="str">
            <v>VAR_fout</v>
          </cell>
          <cell r="C188" t="str">
            <v>RHEM-SHCON</v>
          </cell>
          <cell r="D188"/>
          <cell r="E188">
            <v>1.687999363733288E-5</v>
          </cell>
          <cell r="F188">
            <v>1.8416338096166679E-5</v>
          </cell>
          <cell r="G188">
            <v>1.3583249584828824E-5</v>
          </cell>
          <cell r="H188">
            <v>1.7560168405030048E-5</v>
          </cell>
          <cell r="I188">
            <v>1.4692549942840469E-5</v>
          </cell>
          <cell r="J188">
            <v>1.193868269566383E-5</v>
          </cell>
          <cell r="K188"/>
        </row>
        <row r="189">
          <cell r="A189" t="str">
            <v>RHEM-SHCONBR8</v>
          </cell>
          <cell r="B189" t="str">
            <v>VAR_fin</v>
          </cell>
          <cell r="C189" t="str">
            <v>CON</v>
          </cell>
          <cell r="D189"/>
          <cell r="E189">
            <v>1.687999363733288E-5</v>
          </cell>
          <cell r="F189">
            <v>1.8416338096166679E-5</v>
          </cell>
          <cell r="G189">
            <v>1.3583249584828824E-5</v>
          </cell>
          <cell r="H189">
            <v>1.7560168405030048E-5</v>
          </cell>
          <cell r="I189">
            <v>1.4692549942840469E-5</v>
          </cell>
          <cell r="J189">
            <v>1.193868269566383E-5</v>
          </cell>
        </row>
        <row r="190">
          <cell r="A190" t="str">
            <v>RHEM-SHCONBR8</v>
          </cell>
          <cell r="B190" t="str">
            <v>VAR_ncap</v>
          </cell>
          <cell r="C190" t="str">
            <v>-</v>
          </cell>
          <cell r="D190"/>
          <cell r="E190">
            <v>1.25312534219686E-8</v>
          </cell>
          <cell r="F190"/>
          <cell r="G190"/>
          <cell r="H190"/>
          <cell r="I190"/>
          <cell r="J190"/>
        </row>
        <row r="191">
          <cell r="A191" t="str">
            <v>RHEM-SHCONBR8</v>
          </cell>
          <cell r="B191" t="str">
            <v>VAR_cap</v>
          </cell>
          <cell r="C191" t="str">
            <v>-</v>
          </cell>
          <cell r="D191"/>
          <cell r="E191">
            <v>1.25312534219686E-8</v>
          </cell>
          <cell r="F191">
            <v>1.25312534219686E-8</v>
          </cell>
          <cell r="G191">
            <v>1.25312534219686E-8</v>
          </cell>
          <cell r="H191">
            <v>1.25312534219686E-8</v>
          </cell>
          <cell r="I191">
            <v>1.25312534219686E-8</v>
          </cell>
          <cell r="J191">
            <v>7.2443305728945599E-9</v>
          </cell>
          <cell r="K191"/>
        </row>
        <row r="192">
          <cell r="A192" t="str">
            <v>RHES-SHELCHP</v>
          </cell>
          <cell r="B192" t="str">
            <v>VAR_fout</v>
          </cell>
          <cell r="C192" t="str">
            <v>RHES-SHAELCH</v>
          </cell>
          <cell r="D192">
            <v>9.1578124367933604</v>
          </cell>
          <cell r="E192">
            <v>10.275909472390129</v>
          </cell>
          <cell r="F192">
            <v>19.551065043932752</v>
          </cell>
          <cell r="G192">
            <v>22.753813697432879</v>
          </cell>
          <cell r="H192">
            <v>24.61568502250832</v>
          </cell>
          <cell r="I192">
            <v>25.577078744521678</v>
          </cell>
          <cell r="J192">
            <v>27.19391258635563</v>
          </cell>
        </row>
        <row r="193">
          <cell r="A193" t="str">
            <v>RHES-SHELCHP</v>
          </cell>
          <cell r="B193" t="str">
            <v>VAR_fin</v>
          </cell>
          <cell r="C193" t="str">
            <v>RHES_ELC</v>
          </cell>
          <cell r="D193">
            <v>2.8618163864979227</v>
          </cell>
          <cell r="E193">
            <v>3.1585787312674616</v>
          </cell>
          <cell r="F193">
            <v>6.7831589336449687</v>
          </cell>
          <cell r="G193">
            <v>7.3850110455401889</v>
          </cell>
          <cell r="H193">
            <v>7.6014404599182672</v>
          </cell>
          <cell r="I193">
            <v>7.6029156350496816</v>
          </cell>
          <cell r="J193">
            <v>7.4255697203642015</v>
          </cell>
        </row>
        <row r="194">
          <cell r="A194" t="str">
            <v>RHES-SHELCHP</v>
          </cell>
          <cell r="B194" t="str">
            <v>VAR_fin</v>
          </cell>
          <cell r="C194" t="str">
            <v>RHESELCHPC</v>
          </cell>
          <cell r="D194">
            <v>9.1578124367933604</v>
          </cell>
          <cell r="E194">
            <v>10.275909472390129</v>
          </cell>
          <cell r="F194">
            <v>19.551065043932752</v>
          </cell>
          <cell r="G194">
            <v>22.753813697432879</v>
          </cell>
          <cell r="H194">
            <v>24.61568502250832</v>
          </cell>
          <cell r="I194">
            <v>25.577078744521678</v>
          </cell>
          <cell r="J194">
            <v>27.19391258635563</v>
          </cell>
        </row>
        <row r="195">
          <cell r="A195" t="str">
            <v>RHES-SHELCHP</v>
          </cell>
          <cell r="B195" t="str">
            <v>VAR_ncap</v>
          </cell>
          <cell r="C195" t="str">
            <v>-</v>
          </cell>
          <cell r="D195">
            <v>8.0710960727798794E-8</v>
          </cell>
          <cell r="E195">
            <v>9.0328692659808599E-2</v>
          </cell>
          <cell r="F195">
            <v>0.749325986848004</v>
          </cell>
          <cell r="G195">
            <v>0.25874170550950998</v>
          </cell>
          <cell r="H195">
            <v>0.74243995189082101</v>
          </cell>
          <cell r="I195">
            <v>1.01443935947153</v>
          </cell>
          <cell r="J195">
            <v>1.14667626207017</v>
          </cell>
        </row>
        <row r="196">
          <cell r="A196" t="str">
            <v>RHES-SHELCHP</v>
          </cell>
          <cell r="B196" t="str">
            <v>VAR_cap</v>
          </cell>
          <cell r="C196" t="str">
            <v>-</v>
          </cell>
          <cell r="D196">
            <v>0.73983800863632565</v>
          </cell>
          <cell r="E196">
            <v>0.83016668583530495</v>
          </cell>
          <cell r="F196">
            <v>1.5794926209629192</v>
          </cell>
          <cell r="G196">
            <v>1.8382343069856666</v>
          </cell>
          <cell r="H196">
            <v>1.9886523722367153</v>
          </cell>
          <cell r="I196">
            <v>2.0663183505098992</v>
          </cell>
          <cell r="J196">
            <v>2.1969370156190071</v>
          </cell>
          <cell r="K196"/>
        </row>
        <row r="197">
          <cell r="A197" t="str">
            <v>RHSA-WHELCHP</v>
          </cell>
          <cell r="B197" t="str">
            <v>VAR_fout</v>
          </cell>
          <cell r="C197" t="str">
            <v>RHSA-WHAELCH</v>
          </cell>
          <cell r="D197">
            <v>3.2398981006741367</v>
          </cell>
          <cell r="E197">
            <v>3.6354596864891184</v>
          </cell>
          <cell r="F197">
            <v>4.7393151048757245</v>
          </cell>
          <cell r="G197">
            <v>6.9879567965562552</v>
          </cell>
          <cell r="H197">
            <v>8.8134599966178939</v>
          </cell>
          <cell r="I197">
            <v>10.460794202727877</v>
          </cell>
          <cell r="J197">
            <v>13.821349023200309</v>
          </cell>
          <cell r="K197"/>
        </row>
        <row r="198">
          <cell r="A198" t="str">
            <v>RHSA-WHELCHP</v>
          </cell>
          <cell r="B198" t="str">
            <v>VAR_fin</v>
          </cell>
          <cell r="C198" t="str">
            <v>RHSA_ELC</v>
          </cell>
          <cell r="D198">
            <v>1.1489000357000481</v>
          </cell>
          <cell r="E198">
            <v>1.2864330100810752</v>
          </cell>
          <cell r="F198">
            <v>2.5218655073590899</v>
          </cell>
          <cell r="G198">
            <v>3.427368379358017</v>
          </cell>
          <cell r="H198">
            <v>4.0961370667338119</v>
          </cell>
          <cell r="I198">
            <v>4.6696227270040369</v>
          </cell>
          <cell r="J198">
            <v>5.6489459838364073</v>
          </cell>
          <cell r="K198"/>
        </row>
        <row r="199">
          <cell r="A199" t="str">
            <v>RHSA-WHELCHP</v>
          </cell>
          <cell r="B199" t="str">
            <v>VAR_ncap</v>
          </cell>
          <cell r="C199" t="str">
            <v>-</v>
          </cell>
          <cell r="D199">
            <v>1.7069743856115699E-6</v>
          </cell>
          <cell r="E199">
            <v>3.2768575865550702E-2</v>
          </cell>
          <cell r="F199">
            <v>6.7654618823300899E-2</v>
          </cell>
          <cell r="G199">
            <v>0.15110632818407699</v>
          </cell>
          <cell r="H199">
            <v>0.31152029073831999</v>
          </cell>
          <cell r="I199">
            <v>0.288286209949284</v>
          </cell>
          <cell r="J199">
            <v>0.59471916396607605</v>
          </cell>
          <cell r="K199"/>
        </row>
        <row r="200">
          <cell r="A200" t="str">
            <v>RHSA-WHELCHP</v>
          </cell>
          <cell r="B200" t="str">
            <v>VAR_cap</v>
          </cell>
          <cell r="C200" t="str">
            <v>-</v>
          </cell>
          <cell r="D200">
            <v>0.21335436939362662</v>
          </cell>
          <cell r="E200">
            <v>0.24612291109667225</v>
          </cell>
          <cell r="F200">
            <v>0.31377746488844471</v>
          </cell>
          <cell r="G200">
            <v>0.46488376075137688</v>
          </cell>
          <cell r="H200">
            <v>0.60239992693154765</v>
          </cell>
          <cell r="I200">
            <v>0.71499306967327891</v>
          </cell>
          <cell r="J200">
            <v>0.93570950725511981</v>
          </cell>
          <cell r="K200"/>
        </row>
        <row r="201">
          <cell r="A201" t="str">
            <v>D-ITOT_LTH_CHP</v>
          </cell>
          <cell r="B201" t="str">
            <v>VAR_fout</v>
          </cell>
          <cell r="C201" t="str">
            <v>ITOT_LTH_CHP_ON</v>
          </cell>
          <cell r="D201">
            <v>5.6086416703184279</v>
          </cell>
          <cell r="E201">
            <v>6.009520424732866</v>
          </cell>
          <cell r="F201">
            <v>6.3256293005247866</v>
          </cell>
          <cell r="G201">
            <v>7.7081473272432977</v>
          </cell>
          <cell r="H201">
            <v>7.2153696897560815</v>
          </cell>
          <cell r="I201">
            <v>6.6190623928932943</v>
          </cell>
          <cell r="J201">
            <v>8.697765684424029</v>
          </cell>
          <cell r="K201"/>
        </row>
        <row r="202">
          <cell r="A202" t="str">
            <v>D-ITOT_LTH_CHP</v>
          </cell>
          <cell r="B202" t="str">
            <v>VAR_fout</v>
          </cell>
          <cell r="C202" t="str">
            <v>LTH</v>
          </cell>
          <cell r="D202"/>
          <cell r="E202">
            <v>9.3490190772247132E-4</v>
          </cell>
          <cell r="F202">
            <v>3.6850986287807418E-3</v>
          </cell>
          <cell r="G202">
            <v>9.24735217913575E-3</v>
          </cell>
          <cell r="H202">
            <v>1.1704792119111698E-2</v>
          </cell>
          <cell r="I202">
            <v>9.9840479285211985E-3</v>
          </cell>
          <cell r="J202">
            <v>2.7687057256533712E-2</v>
          </cell>
        </row>
        <row r="203">
          <cell r="A203" t="str">
            <v>D-ITOT_LTH_CHP</v>
          </cell>
          <cell r="B203" t="str">
            <v>VAR_fin</v>
          </cell>
          <cell r="C203" t="str">
            <v>ITOT_LTH_CHP</v>
          </cell>
          <cell r="D203">
            <v>5.6086416703184279</v>
          </cell>
          <cell r="E203">
            <v>6.0104553266405905</v>
          </cell>
          <cell r="F203">
            <v>6.3293143991535654</v>
          </cell>
          <cell r="G203">
            <v>7.7173946794224371</v>
          </cell>
          <cell r="H203">
            <v>7.2270744818751922</v>
          </cell>
          <cell r="I203">
            <v>6.6290464408218162</v>
          </cell>
          <cell r="J203">
            <v>8.7254527416805594</v>
          </cell>
        </row>
        <row r="204">
          <cell r="A204" t="str">
            <v>RHEM-SHCONBR9</v>
          </cell>
          <cell r="B204" t="str">
            <v>VAR_fout</v>
          </cell>
          <cell r="C204" t="str">
            <v>RHEM-SHCON</v>
          </cell>
          <cell r="D204"/>
          <cell r="E204">
            <v>1.6710411733800206E-5</v>
          </cell>
          <cell r="F204">
            <v>1.8253423914787943E-5</v>
          </cell>
          <cell r="G204">
            <v>1.3331895022495037E-5</v>
          </cell>
          <cell r="H204">
            <v>1.7256217136999023E-5</v>
          </cell>
          <cell r="I204">
            <v>1.4338342235049609E-5</v>
          </cell>
          <cell r="J204">
            <v>1.1619257511067835E-5</v>
          </cell>
        </row>
        <row r="205">
          <cell r="A205" t="str">
            <v>RHEM-SHCONBR9</v>
          </cell>
          <cell r="B205" t="str">
            <v>VAR_fin</v>
          </cell>
          <cell r="C205" t="str">
            <v>CON</v>
          </cell>
          <cell r="D205"/>
          <cell r="E205">
            <v>1.6710411733800206E-5</v>
          </cell>
          <cell r="F205">
            <v>1.8253423914787943E-5</v>
          </cell>
          <cell r="G205">
            <v>1.3331895022495037E-5</v>
          </cell>
          <cell r="H205">
            <v>1.7256217136999023E-5</v>
          </cell>
          <cell r="I205">
            <v>1.4338342235049609E-5</v>
          </cell>
          <cell r="J205">
            <v>1.1619257511067835E-5</v>
          </cell>
        </row>
        <row r="206">
          <cell r="A206" t="str">
            <v>SCOM-SHELCHP</v>
          </cell>
          <cell r="B206" t="str">
            <v>VAR_fout</v>
          </cell>
          <cell r="C206" t="str">
            <v>SCOM-SHAELCH</v>
          </cell>
          <cell r="D206">
            <v>4.2612185795132396</v>
          </cell>
          <cell r="E206">
            <v>4.6176516402750387</v>
          </cell>
          <cell r="F206">
            <v>4.7664917213640079</v>
          </cell>
          <cell r="G206">
            <v>7.5118334938063009</v>
          </cell>
          <cell r="H206">
            <v>9.6814532908006825</v>
          </cell>
          <cell r="I206">
            <v>11.706592883028637</v>
          </cell>
          <cell r="J206">
            <v>15.908565185965301</v>
          </cell>
          <cell r="K206"/>
        </row>
        <row r="207">
          <cell r="A207" t="str">
            <v>SCOM-SHELCHP</v>
          </cell>
          <cell r="B207" t="str">
            <v>VAR_fin</v>
          </cell>
          <cell r="C207" t="str">
            <v>SCOMELCHPC</v>
          </cell>
          <cell r="D207">
            <v>4.2612185795132396</v>
          </cell>
          <cell r="E207">
            <v>4.6176516402750387</v>
          </cell>
          <cell r="F207">
            <v>4.7664917213640079</v>
          </cell>
          <cell r="G207">
            <v>7.5118334938063009</v>
          </cell>
          <cell r="H207">
            <v>9.6814532908006825</v>
          </cell>
          <cell r="I207">
            <v>11.706592883028637</v>
          </cell>
          <cell r="J207">
            <v>15.908565185965301</v>
          </cell>
          <cell r="K207"/>
        </row>
        <row r="208">
          <cell r="A208" t="str">
            <v>SCOM-SHELCHP</v>
          </cell>
          <cell r="B208" t="str">
            <v>VAR_fin</v>
          </cell>
          <cell r="C208" t="str">
            <v>SCOM_ELC</v>
          </cell>
          <cell r="D208">
            <v>1.3316308060978892</v>
          </cell>
          <cell r="E208">
            <v>1.4252011235416786</v>
          </cell>
          <cell r="F208">
            <v>1.6790539204026178</v>
          </cell>
          <cell r="G208">
            <v>2.4832965233140731</v>
          </cell>
          <cell r="H208">
            <v>3.0817106352046224</v>
          </cell>
          <cell r="I208">
            <v>3.610531672096049</v>
          </cell>
          <cell r="J208">
            <v>4.5905302410831954</v>
          </cell>
          <cell r="K208"/>
        </row>
        <row r="209">
          <cell r="A209" t="str">
            <v>SCOM-SHELCHP</v>
          </cell>
          <cell r="B209" t="str">
            <v>VAR_ncap</v>
          </cell>
          <cell r="C209" t="str">
            <v>-</v>
          </cell>
          <cell r="D209">
            <v>2.5544693391043E-8</v>
          </cell>
          <cell r="E209">
            <v>4.02155775529624E-8</v>
          </cell>
          <cell r="F209">
            <v>1.1650992636356599E-7</v>
          </cell>
          <cell r="G209">
            <v>0.15004506190509101</v>
          </cell>
          <cell r="H209">
            <v>0.48665731486937602</v>
          </cell>
          <cell r="I209">
            <v>0.31577344473840702</v>
          </cell>
          <cell r="J209">
            <v>0.79469042311203897</v>
          </cell>
        </row>
        <row r="210">
          <cell r="A210" t="str">
            <v>SCOM-SHELCHP</v>
          </cell>
          <cell r="B210" t="str">
            <v>VAR_cap</v>
          </cell>
          <cell r="C210" t="str">
            <v>-</v>
          </cell>
          <cell r="D210">
            <v>0.43061733899848142</v>
          </cell>
          <cell r="E210">
            <v>0.43061669070350939</v>
          </cell>
          <cell r="F210">
            <v>0.43061681791255985</v>
          </cell>
          <cell r="G210">
            <v>0.58066237256792208</v>
          </cell>
          <cell r="H210">
            <v>0.74837614121333174</v>
          </cell>
          <cell r="I210">
            <v>0.90490937207575761</v>
          </cell>
          <cell r="J210">
            <v>1.2297111827068288</v>
          </cell>
          <cell r="K210"/>
        </row>
        <row r="211">
          <cell r="A211" t="str">
            <v>D-ITOT_NKEV_OIL_ELC_CHP</v>
          </cell>
          <cell r="B211" t="str">
            <v>VAR_fout</v>
          </cell>
          <cell r="C211" t="str">
            <v>ITOT_ELC</v>
          </cell>
          <cell r="D211">
            <v>6.9431500277413891E-2</v>
          </cell>
          <cell r="E211">
            <v>0.17068039267968529</v>
          </cell>
          <cell r="F211">
            <v>9.2704456535855125E-3</v>
          </cell>
          <cell r="G211">
            <v>0.17050617102205567</v>
          </cell>
          <cell r="H211">
            <v>0.1698448600309671</v>
          </cell>
          <cell r="I211">
            <v>1.4158403854626068E-2</v>
          </cell>
          <cell r="J211">
            <v>0.16985583048399014</v>
          </cell>
          <cell r="K211"/>
        </row>
        <row r="212">
          <cell r="A212" t="str">
            <v>D-ITOT_NKEV_OIL_ELC_CHP</v>
          </cell>
          <cell r="B212" t="str">
            <v>VAR_fout</v>
          </cell>
          <cell r="C212" t="str">
            <v>ELC5</v>
          </cell>
          <cell r="D212">
            <v>1.0712183653428747E-3</v>
          </cell>
          <cell r="E212">
            <v>7.6496196534186513E-4</v>
          </cell>
          <cell r="F212">
            <v>4.9005453696583494E-4</v>
          </cell>
          <cell r="G212">
            <v>6.6984467350981764E-4</v>
          </cell>
          <cell r="H212">
            <v>8.9756335616323702E-4</v>
          </cell>
          <cell r="I212">
            <v>4.3758750901003721E-4</v>
          </cell>
          <cell r="J212">
            <v>6.8897687089595214E-4</v>
          </cell>
          <cell r="K212"/>
        </row>
        <row r="213">
          <cell r="A213" t="str">
            <v>D-ITOT_NKEV_OIL_ELC_CHP</v>
          </cell>
          <cell r="B213" t="str">
            <v>VAR_fin</v>
          </cell>
          <cell r="C213" t="str">
            <v>ITOT_NKEV_OIL_ELC_CHP</v>
          </cell>
          <cell r="D213">
            <v>7.0502718642756743E-2</v>
          </cell>
          <cell r="E213">
            <v>0.17144535464502705</v>
          </cell>
          <cell r="F213">
            <v>9.7566647758342648E-3</v>
          </cell>
          <cell r="G213">
            <v>0.17117233291840359</v>
          </cell>
          <cell r="H213">
            <v>0.17073768570558492</v>
          </cell>
          <cell r="I213">
            <v>1.4590475861489892E-2</v>
          </cell>
          <cell r="J213">
            <v>0.17053927561477852</v>
          </cell>
        </row>
        <row r="214">
          <cell r="A214" t="str">
            <v>RHNS-SHELCBR</v>
          </cell>
          <cell r="B214" t="str">
            <v>VAR_fout</v>
          </cell>
          <cell r="C214" t="str">
            <v>RHNS-SHAELCB</v>
          </cell>
          <cell r="D214"/>
          <cell r="E214">
            <v>6.9061838490484209E-2</v>
          </cell>
          <cell r="F214">
            <v>8.2079166061594325E-3</v>
          </cell>
          <cell r="G214">
            <v>1.726195626553283E-2</v>
          </cell>
          <cell r="H214">
            <v>2.2915005642648562E-2</v>
          </cell>
          <cell r="I214">
            <v>2.7886395189156421E-2</v>
          </cell>
          <cell r="J214">
            <v>3.2199040190436914E-2</v>
          </cell>
          <cell r="K214"/>
        </row>
        <row r="215">
          <cell r="A215" t="str">
            <v>RHNS-SHELCBR</v>
          </cell>
          <cell r="B215" t="str">
            <v>VAR_fin</v>
          </cell>
          <cell r="C215" t="str">
            <v>RHNS_ELC</v>
          </cell>
          <cell r="D215"/>
          <cell r="E215">
            <v>7.2696672095246467E-2</v>
          </cell>
          <cell r="F215">
            <v>8.6399122170099183E-3</v>
          </cell>
          <cell r="G215">
            <v>1.8170480279508232E-2</v>
          </cell>
          <cell r="H215">
            <v>2.4121058571209015E-2</v>
          </cell>
          <cell r="I215">
            <v>2.9354100199112054E-2</v>
          </cell>
          <cell r="J215">
            <v>3.389372651624941E-2</v>
          </cell>
        </row>
        <row r="216">
          <cell r="A216" t="str">
            <v>RHNS-SHELCBR</v>
          </cell>
          <cell r="B216" t="str">
            <v>VAR_ncap</v>
          </cell>
          <cell r="C216" t="str">
            <v>-</v>
          </cell>
          <cell r="D216"/>
          <cell r="E216">
            <v>5.0655853336002204E-3</v>
          </cell>
          <cell r="F216"/>
          <cell r="G216"/>
          <cell r="H216">
            <v>5.6386290789377496E-3</v>
          </cell>
          <cell r="I216"/>
          <cell r="J216"/>
        </row>
        <row r="217">
          <cell r="A217" t="str">
            <v>RHNS-SHELCBR</v>
          </cell>
          <cell r="B217" t="str">
            <v>VAR_cap</v>
          </cell>
          <cell r="C217" t="str">
            <v>-</v>
          </cell>
          <cell r="D217"/>
          <cell r="E217">
            <v>5.0655853336002204E-3</v>
          </cell>
          <cell r="F217">
            <v>5.0643407180960311E-3</v>
          </cell>
          <cell r="G217">
            <v>5.0621886487443131E-3</v>
          </cell>
          <cell r="H217">
            <v>8.2307424244866065E-3</v>
          </cell>
          <cell r="I217">
            <v>5.6385768168517479E-3</v>
          </cell>
          <cell r="J217">
            <v>2.3850391024444954E-3</v>
          </cell>
          <cell r="K217"/>
        </row>
        <row r="218">
          <cell r="A218" t="str">
            <v>ITOT-SWHSTG-SOL</v>
          </cell>
          <cell r="B218" t="str">
            <v>VAR_fout</v>
          </cell>
          <cell r="C218" t="str">
            <v>ITOT-SWHASOL</v>
          </cell>
          <cell r="D218">
            <v>7.9601046170252218E-5</v>
          </cell>
          <cell r="E218">
            <v>8.1524330071675152E-5</v>
          </cell>
          <cell r="F218">
            <v>1.2638995776513968E-4</v>
          </cell>
          <cell r="G218">
            <v>1.074476865845505E-4</v>
          </cell>
          <cell r="H218">
            <v>1.3500659326556456E-4</v>
          </cell>
          <cell r="I218">
            <v>1.5978786343999327E-4</v>
          </cell>
          <cell r="J218">
            <v>1.618628537499037E-4</v>
          </cell>
        </row>
        <row r="219">
          <cell r="A219" t="str">
            <v>ITOT-SWHSTG-SOL</v>
          </cell>
          <cell r="B219" t="str">
            <v>VAR_fin</v>
          </cell>
          <cell r="C219" t="str">
            <v>ITOT-SWHASOL</v>
          </cell>
          <cell r="D219">
            <v>7.051696635286867E-5</v>
          </cell>
          <cell r="E219">
            <v>8.0511868073968802E-5</v>
          </cell>
          <cell r="F219">
            <v>1.3621403157150009E-4</v>
          </cell>
          <cell r="G219">
            <v>1.1178569713925649E-4</v>
          </cell>
          <cell r="H219">
            <v>1.4157905135750887E-4</v>
          </cell>
          <cell r="I219">
            <v>1.672775805570489E-4</v>
          </cell>
          <cell r="J219">
            <v>1.5642984430875811E-4</v>
          </cell>
        </row>
        <row r="220">
          <cell r="A220" t="str">
            <v>ITOT-SWHSTG-SOL</v>
          </cell>
          <cell r="B220" t="str">
            <v>VAR_ncap</v>
          </cell>
          <cell r="C220" t="str">
            <v>-</v>
          </cell>
          <cell r="D220">
            <v>8.1724060064047393E-6</v>
          </cell>
          <cell r="E220">
            <v>1.43527329183892E-8</v>
          </cell>
          <cell r="F220">
            <v>3.5722314015470399E-6</v>
          </cell>
          <cell r="G220">
            <v>2.3257642954149602E-6</v>
          </cell>
          <cell r="H220">
            <v>5.6577862363549203E-6</v>
          </cell>
          <cell r="I220">
            <v>7.8957176624847692E-6</v>
          </cell>
          <cell r="J220">
            <v>5.2803583161478999E-7</v>
          </cell>
        </row>
        <row r="221">
          <cell r="A221" t="str">
            <v>ITOT-SWHSTG-SOL</v>
          </cell>
          <cell r="B221" t="str">
            <v>VAR_cap</v>
          </cell>
          <cell r="C221" t="str">
            <v>-</v>
          </cell>
          <cell r="D221">
            <v>8.1724060064047393E-6</v>
          </cell>
          <cell r="E221">
            <v>8.1867587393231308E-6</v>
          </cell>
          <cell r="F221">
            <v>1.17589901408702E-5</v>
          </cell>
          <cell r="G221">
            <v>1.4084754436285101E-5</v>
          </cell>
          <cell r="H221">
            <v>1.3682522418861099E-5</v>
          </cell>
          <cell r="I221">
            <v>1.5774689568269901E-5</v>
          </cell>
          <cell r="J221">
            <v>8.6514361507600993E-6</v>
          </cell>
        </row>
        <row r="222">
          <cell r="A222" t="str">
            <v>RHES-SHLTHCHPNGA</v>
          </cell>
          <cell r="B222" t="str">
            <v>VAR_fout</v>
          </cell>
          <cell r="C222" t="str">
            <v>RHES-SHLTHC-NGA</v>
          </cell>
          <cell r="D222">
            <v>3.0184577100208852E-2</v>
          </cell>
          <cell r="E222">
            <v>1.0834031534996816E-3</v>
          </cell>
          <cell r="F222"/>
          <cell r="G222"/>
          <cell r="H222"/>
          <cell r="I222"/>
          <cell r="J222"/>
          <cell r="K222"/>
        </row>
        <row r="223">
          <cell r="A223" t="str">
            <v>RHES-SHLTHCHPNGA</v>
          </cell>
          <cell r="B223" t="str">
            <v>VAR_fin</v>
          </cell>
          <cell r="C223" t="str">
            <v>RHESLTHCHPC</v>
          </cell>
          <cell r="D223">
            <v>3.0184577100208852E-2</v>
          </cell>
          <cell r="E223">
            <v>1.0834031534996816E-3</v>
          </cell>
          <cell r="F223"/>
          <cell r="G223"/>
          <cell r="H223"/>
          <cell r="I223"/>
          <cell r="J223"/>
          <cell r="K223"/>
        </row>
        <row r="224">
          <cell r="A224" t="str">
            <v>RHES-SHLTHCHPNGA</v>
          </cell>
          <cell r="B224" t="str">
            <v>VAR_fin</v>
          </cell>
          <cell r="C224" t="str">
            <v>RHES_LTH_CHPNGA_ON</v>
          </cell>
          <cell r="D224">
            <v>3.0489471818392778E-2</v>
          </cell>
          <cell r="E224">
            <v>1.0943466196966492E-3</v>
          </cell>
          <cell r="F224"/>
          <cell r="G224"/>
          <cell r="H224"/>
          <cell r="I224"/>
          <cell r="J224"/>
        </row>
        <row r="225">
          <cell r="A225" t="str">
            <v>RHES-SHLTHCHPNGA</v>
          </cell>
          <cell r="B225" t="str">
            <v>VAR_ncap</v>
          </cell>
          <cell r="C225" t="str">
            <v>-</v>
          </cell>
          <cell r="D225"/>
          <cell r="E225">
            <v>8.2231698098371407E-5</v>
          </cell>
          <cell r="F225">
            <v>1.8352962214255499E-4</v>
          </cell>
          <cell r="G225">
            <v>1.34949688987241E-4</v>
          </cell>
          <cell r="H225">
            <v>1.11578689511344E-4</v>
          </cell>
          <cell r="I225">
            <v>2.7379087039469301E-5</v>
          </cell>
          <cell r="J225">
            <v>1.21153911422408E-6</v>
          </cell>
        </row>
        <row r="226">
          <cell r="A226" t="str">
            <v>RHES-SHLTHCHPNGA</v>
          </cell>
          <cell r="B226" t="str">
            <v>VAR_cap</v>
          </cell>
          <cell r="C226" t="str">
            <v>-</v>
          </cell>
          <cell r="D226">
            <v>5.3757649990155603E-3</v>
          </cell>
          <cell r="E226">
            <v>1.4722151088723129E-4</v>
          </cell>
          <cell r="F226">
            <v>2.7525226215292797E-4</v>
          </cell>
          <cell r="G226">
            <v>2.5955355571979661E-4</v>
          </cell>
          <cell r="H226">
            <v>2.0276566186091193E-4</v>
          </cell>
          <cell r="I226">
            <v>6.3647095577317012E-5</v>
          </cell>
          <cell r="J226">
            <v>2.8744092744295053E-6</v>
          </cell>
        </row>
        <row r="227">
          <cell r="A227" t="str">
            <v>RHSA-WHSTG-ELC</v>
          </cell>
          <cell r="B227" t="str">
            <v>VAR_fout</v>
          </cell>
          <cell r="C227" t="str">
            <v>RHSA-WHAELCB</v>
          </cell>
          <cell r="D227">
            <v>1.2376838791158757</v>
          </cell>
          <cell r="E227">
            <v>1.4071884455970993</v>
          </cell>
          <cell r="F227">
            <v>0.81057769963910398</v>
          </cell>
          <cell r="G227">
            <v>0.68383805096081629</v>
          </cell>
          <cell r="H227">
            <v>0.37522518773999985</v>
          </cell>
          <cell r="I227">
            <v>0.36857589399809348</v>
          </cell>
          <cell r="J227">
            <v>0.33723270745516343</v>
          </cell>
          <cell r="K227"/>
        </row>
        <row r="228">
          <cell r="A228" t="str">
            <v>RHSA-WHSTG-ELC</v>
          </cell>
          <cell r="B228" t="str">
            <v>VAR_fout</v>
          </cell>
          <cell r="C228" t="str">
            <v>AUX_RHSA-WHSTG-ELC_OUT</v>
          </cell>
          <cell r="D228">
            <v>1.2389215629949919</v>
          </cell>
          <cell r="E228">
            <v>1.4085956340426964</v>
          </cell>
          <cell r="F228">
            <v>0.81138827733874275</v>
          </cell>
          <cell r="G228">
            <v>0.68452188901177713</v>
          </cell>
          <cell r="H228">
            <v>0.37560041292773999</v>
          </cell>
          <cell r="I228">
            <v>0.36894446989209156</v>
          </cell>
          <cell r="J228">
            <v>0.33756994016261854</v>
          </cell>
          <cell r="K228"/>
        </row>
        <row r="229">
          <cell r="A229" t="str">
            <v>RHSA-WHSTG-ELC</v>
          </cell>
          <cell r="B229" t="str">
            <v>VAR_fin</v>
          </cell>
          <cell r="C229" t="str">
            <v>RHSA-WHAELCB</v>
          </cell>
          <cell r="D229">
            <v>1.2376906831889543</v>
          </cell>
          <cell r="E229">
            <v>1.4071885141805907</v>
          </cell>
          <cell r="F229">
            <v>0.81057711726574755</v>
          </cell>
          <cell r="G229">
            <v>0.6838376179465504</v>
          </cell>
          <cell r="H229">
            <v>0.37522511587005392</v>
          </cell>
          <cell r="I229">
            <v>0.36857602064171546</v>
          </cell>
          <cell r="J229">
            <v>0.33723281416772743</v>
          </cell>
          <cell r="K229"/>
        </row>
        <row r="230">
          <cell r="A230" t="str">
            <v>RHSA-WHSTG-ELC</v>
          </cell>
          <cell r="B230" t="str">
            <v>VAR_ncap</v>
          </cell>
          <cell r="C230" t="str">
            <v>-</v>
          </cell>
          <cell r="D230">
            <v>0.11101267632488</v>
          </cell>
          <cell r="E230">
            <v>5.5451689751844199E-6</v>
          </cell>
          <cell r="F230">
            <v>2.6315271251881901E-6</v>
          </cell>
          <cell r="G230">
            <v>5.8734439764465996E-6</v>
          </cell>
          <cell r="H230">
            <v>1.67517273473222E-2</v>
          </cell>
          <cell r="I230">
            <v>1.56107297250439E-2</v>
          </cell>
          <cell r="J230">
            <v>9.6032551447658692E-3</v>
          </cell>
        </row>
        <row r="231">
          <cell r="A231" t="str">
            <v>RHSA-WHSTG-ELC</v>
          </cell>
          <cell r="B231" t="str">
            <v>VAR_cap</v>
          </cell>
          <cell r="C231" t="str">
            <v>-</v>
          </cell>
          <cell r="D231">
            <v>0.11101358569376872</v>
          </cell>
          <cell r="E231">
            <v>0.11100843930914368</v>
          </cell>
          <cell r="F231">
            <v>8.287137564436331E-2</v>
          </cell>
          <cell r="G231">
            <v>6.4754303579591513E-2</v>
          </cell>
          <cell r="H231">
            <v>3.3537145161454632E-2</v>
          </cell>
          <cell r="I231">
            <v>3.2357879139224804E-2</v>
          </cell>
          <cell r="J231">
            <v>2.8003544411675765E-2</v>
          </cell>
        </row>
        <row r="232">
          <cell r="A232" t="str">
            <v>ITOT-SWHLFOBR</v>
          </cell>
          <cell r="B232" t="str">
            <v>VAR_fout</v>
          </cell>
          <cell r="C232" t="str">
            <v>ITOT-SWH</v>
          </cell>
          <cell r="D232">
            <v>6.9177103428533977</v>
          </cell>
          <cell r="E232">
            <v>6.3115084394813961</v>
          </cell>
          <cell r="F232">
            <v>6.4452407187836736</v>
          </cell>
          <cell r="G232">
            <v>5.2689416257412374</v>
          </cell>
          <cell r="H232">
            <v>3.9266559070152192</v>
          </cell>
          <cell r="I232">
            <v>2.5782534513949291</v>
          </cell>
          <cell r="J232">
            <v>0.53236217948147524</v>
          </cell>
        </row>
        <row r="233">
          <cell r="A233" t="str">
            <v>ITOT-SWHLFOBR</v>
          </cell>
          <cell r="B233" t="str">
            <v>VAR_fout</v>
          </cell>
          <cell r="C233" t="str">
            <v>CO2_I</v>
          </cell>
          <cell r="D233">
            <v>655.76859775406695</v>
          </cell>
          <cell r="E233">
            <v>597.33696360137799</v>
          </cell>
          <cell r="F233">
            <v>608.51944146685298</v>
          </cell>
          <cell r="G233">
            <v>495.46481946979497</v>
          </cell>
          <cell r="H233">
            <v>367.76753740638998</v>
          </cell>
          <cell r="I233">
            <v>240.51612529481099</v>
          </cell>
          <cell r="J233">
            <v>49.269988343586903</v>
          </cell>
        </row>
        <row r="234">
          <cell r="A234" t="str">
            <v>ITOT-SWHLFOBR</v>
          </cell>
          <cell r="B234" t="str">
            <v>VAR_fin</v>
          </cell>
          <cell r="C234" t="str">
            <v>ILFO</v>
          </cell>
          <cell r="D234">
            <v>8.8978100102315807</v>
          </cell>
          <cell r="E234">
            <v>8.1049791533429705</v>
          </cell>
          <cell r="F234">
            <v>8.2567088394417034</v>
          </cell>
          <cell r="G234">
            <v>6.7227248231993846</v>
          </cell>
          <cell r="H234">
            <v>4.9900615658940319</v>
          </cell>
          <cell r="I234">
            <v>3.2634481044072028</v>
          </cell>
          <cell r="J234">
            <v>0.66852087304731178</v>
          </cell>
          <cell r="K234"/>
        </row>
        <row r="235">
          <cell r="A235" t="str">
            <v>ITOT-SWHLFOBR</v>
          </cell>
          <cell r="B235" t="str">
            <v>VAR_ncap</v>
          </cell>
          <cell r="C235" t="str">
            <v>-</v>
          </cell>
          <cell r="D235"/>
          <cell r="E235">
            <v>6.0453815571086603E-5</v>
          </cell>
          <cell r="F235">
            <v>6.9291597729050401E-6</v>
          </cell>
          <cell r="G235">
            <v>1.04053938688292E-5</v>
          </cell>
          <cell r="H235">
            <v>0.148346977300504</v>
          </cell>
          <cell r="I235">
            <v>1.2088468774901101E-5</v>
          </cell>
          <cell r="J235">
            <v>1.5552698109852401E-6</v>
          </cell>
        </row>
        <row r="236">
          <cell r="A236" t="str">
            <v>ITOT-SWHLFOBR</v>
          </cell>
          <cell r="B236" t="str">
            <v>VAR_cap</v>
          </cell>
          <cell r="C236" t="str">
            <v>-</v>
          </cell>
          <cell r="D236">
            <v>0.37633543963083199</v>
          </cell>
          <cell r="E236">
            <v>0.37639449521587892</v>
          </cell>
          <cell r="F236">
            <v>0.37639311158111793</v>
          </cell>
          <cell r="G236">
            <v>0.37639012471599614</v>
          </cell>
          <cell r="H236">
            <v>0.24597282015560271</v>
          </cell>
          <cell r="I236">
            <v>0.14836164473699087</v>
          </cell>
          <cell r="J236">
            <v>5.9823557314959121E-2</v>
          </cell>
          <cell r="K236"/>
        </row>
        <row r="237">
          <cell r="A237" t="str">
            <v>D-SCOM_LTH_CHPNGA</v>
          </cell>
          <cell r="B237" t="str">
            <v>VAR_fout</v>
          </cell>
          <cell r="C237" t="str">
            <v>LTH</v>
          </cell>
          <cell r="D237"/>
          <cell r="E237">
            <v>3.2257955171028737E-6</v>
          </cell>
          <cell r="F237"/>
          <cell r="G237"/>
          <cell r="H237"/>
          <cell r="I237"/>
          <cell r="J237"/>
          <cell r="K237"/>
        </row>
        <row r="238">
          <cell r="A238" t="str">
            <v>D-SCOM_LTH_CHPNGA</v>
          </cell>
          <cell r="B238" t="str">
            <v>VAR_fout</v>
          </cell>
          <cell r="C238" t="str">
            <v>SCOM_LTH_CHPNGA_ON</v>
          </cell>
          <cell r="D238">
            <v>0.69257563863499105</v>
          </cell>
          <cell r="E238">
            <v>0.75019198336071857</v>
          </cell>
          <cell r="F238"/>
          <cell r="G238"/>
          <cell r="H238"/>
          <cell r="I238"/>
          <cell r="J238"/>
          <cell r="K238"/>
        </row>
        <row r="239">
          <cell r="A239" t="str">
            <v>D-SCOM_LTH_CHPNGA</v>
          </cell>
          <cell r="B239" t="str">
            <v>VAR_fin</v>
          </cell>
          <cell r="C239" t="str">
            <v>SCOM_LTH_CHPNGA</v>
          </cell>
          <cell r="D239">
            <v>0.69257563863499105</v>
          </cell>
          <cell r="E239">
            <v>0.75019559367539534</v>
          </cell>
          <cell r="F239"/>
          <cell r="G239"/>
          <cell r="H239"/>
          <cell r="I239"/>
          <cell r="J239"/>
          <cell r="K239"/>
        </row>
        <row r="240">
          <cell r="A240" t="str">
            <v>D-IWOD</v>
          </cell>
          <cell r="B240" t="str">
            <v>VAR_fout</v>
          </cell>
          <cell r="C240" t="str">
            <v>IWOD</v>
          </cell>
          <cell r="D240">
            <v>9.8746066067617431</v>
          </cell>
          <cell r="E240">
            <v>12.640157885906881</v>
          </cell>
          <cell r="F240">
            <v>14.883719936597286</v>
          </cell>
          <cell r="G240">
            <v>15.060626819589171</v>
          </cell>
          <cell r="H240">
            <v>16.826263695458685</v>
          </cell>
          <cell r="I240">
            <v>18.108063567343379</v>
          </cell>
          <cell r="J240">
            <v>20.267829120502785</v>
          </cell>
          <cell r="K240"/>
        </row>
        <row r="241">
          <cell r="A241" t="str">
            <v>D-IWOD</v>
          </cell>
          <cell r="B241" t="str">
            <v>VAR_fin</v>
          </cell>
          <cell r="C241" t="str">
            <v>WOD</v>
          </cell>
          <cell r="D241">
            <v>9.8746066067617431</v>
          </cell>
          <cell r="E241">
            <v>12.640157885906881</v>
          </cell>
          <cell r="F241">
            <v>14.883719936597286</v>
          </cell>
          <cell r="G241">
            <v>15.060626819589171</v>
          </cell>
          <cell r="H241">
            <v>16.826263695458685</v>
          </cell>
          <cell r="I241">
            <v>18.108063567343379</v>
          </cell>
          <cell r="J241">
            <v>20.267829120502785</v>
          </cell>
        </row>
        <row r="242">
          <cell r="A242" t="str">
            <v>SCOM-ELCSPEC</v>
          </cell>
          <cell r="B242" t="str">
            <v>VAR_fout</v>
          </cell>
          <cell r="C242" t="str">
            <v>SCOM-ELS</v>
          </cell>
          <cell r="D242">
            <v>56.994774574912441</v>
          </cell>
          <cell r="E242">
            <v>58.701894564490466</v>
          </cell>
          <cell r="F242">
            <v>45.22360105569431</v>
          </cell>
          <cell r="G242">
            <v>44.426412587315177</v>
          </cell>
          <cell r="H242">
            <v>43.973581196629127</v>
          </cell>
          <cell r="I242">
            <v>42.947348925706116</v>
          </cell>
          <cell r="J242">
            <v>40.448398694448635</v>
          </cell>
          <cell r="K242"/>
        </row>
        <row r="243">
          <cell r="A243" t="str">
            <v>SCOM-ELCSPEC</v>
          </cell>
          <cell r="B243" t="str">
            <v>VAR_fin</v>
          </cell>
          <cell r="C243" t="str">
            <v>SCOM_ELC</v>
          </cell>
          <cell r="D243">
            <v>56.994774574912441</v>
          </cell>
          <cell r="E243">
            <v>58.701894564490466</v>
          </cell>
          <cell r="F243">
            <v>45.22360105569431</v>
          </cell>
          <cell r="G243">
            <v>44.426412587315177</v>
          </cell>
          <cell r="H243">
            <v>43.973581196629127</v>
          </cell>
          <cell r="I243">
            <v>42.947348925706116</v>
          </cell>
          <cell r="J243">
            <v>40.448398694448635</v>
          </cell>
          <cell r="K243"/>
        </row>
        <row r="244">
          <cell r="A244" t="str">
            <v>SCOM-ELCSPEC</v>
          </cell>
          <cell r="B244" t="str">
            <v>VAR_ncap</v>
          </cell>
          <cell r="C244" t="str">
            <v>-</v>
          </cell>
          <cell r="D244">
            <v>5.9826045443490199E-8</v>
          </cell>
          <cell r="E244">
            <v>3.3482832906341202E-7</v>
          </cell>
          <cell r="F244">
            <v>3.37471987373827E-7</v>
          </cell>
          <cell r="G244">
            <v>3.3377005641043097E-7</v>
          </cell>
          <cell r="H244">
            <v>3.98399567401869E-7</v>
          </cell>
          <cell r="I244">
            <v>5.2802108586305903E-7</v>
          </cell>
          <cell r="J244">
            <v>3.8721337878258701</v>
          </cell>
          <cell r="K244"/>
        </row>
        <row r="245">
          <cell r="A245" t="str">
            <v>SCOM-ELCSPEC</v>
          </cell>
          <cell r="B245" t="str">
            <v>VAR_cap</v>
          </cell>
          <cell r="C245" t="str">
            <v>-</v>
          </cell>
          <cell r="D245">
            <v>6.6055313281799055</v>
          </cell>
          <cell r="E245">
            <v>6.2047500205047985</v>
          </cell>
          <cell r="F245">
            <v>4.7801040176343923</v>
          </cell>
          <cell r="G245">
            <v>4.695841424204688</v>
          </cell>
          <cell r="H245">
            <v>4.6479777659433656</v>
          </cell>
          <cell r="I245">
            <v>4.539505766420401</v>
          </cell>
          <cell r="J245">
            <v>4.2753675712549501</v>
          </cell>
        </row>
        <row r="246">
          <cell r="A246" t="str">
            <v>D-ITOT_KEV_WST_ELC_CHP</v>
          </cell>
          <cell r="B246" t="str">
            <v>VAR_fout</v>
          </cell>
          <cell r="C246" t="str">
            <v>ITOT_ELC</v>
          </cell>
          <cell r="D246">
            <v>3.8407807200854425E-4</v>
          </cell>
          <cell r="E246">
            <v>1.3121217213786613E-4</v>
          </cell>
          <cell r="F246">
            <v>1.0558857530155538E-4</v>
          </cell>
          <cell r="G246">
            <v>1.4076354498338144E-4</v>
          </cell>
          <cell r="H246">
            <v>3.1190080426489345E-4</v>
          </cell>
          <cell r="I246">
            <v>1.7107023336913156E-4</v>
          </cell>
          <cell r="J246">
            <v>5.7772004804524327E-5</v>
          </cell>
          <cell r="K246"/>
        </row>
        <row r="247">
          <cell r="A247" t="str">
            <v>D-ITOT_KEV_WST_ELC_CHP</v>
          </cell>
          <cell r="B247" t="str">
            <v>VAR_fout</v>
          </cell>
          <cell r="C247" t="str">
            <v>ELC5</v>
          </cell>
          <cell r="D247">
            <v>0.22966100269633777</v>
          </cell>
          <cell r="E247">
            <v>0.23002676932199667</v>
          </cell>
          <cell r="F247">
            <v>1.947461378751345E-4</v>
          </cell>
          <cell r="G247">
            <v>1.2743206727991205E-4</v>
          </cell>
          <cell r="H247">
            <v>2.3922997110257876E-4</v>
          </cell>
          <cell r="I247">
            <v>1.3588394055976527E-4</v>
          </cell>
          <cell r="J247">
            <v>5.0885038213004123E-5</v>
          </cell>
          <cell r="K247"/>
        </row>
        <row r="248">
          <cell r="A248" t="str">
            <v>D-ITOT_KEV_WST_ELC_CHP</v>
          </cell>
          <cell r="B248" t="str">
            <v>VAR_fin</v>
          </cell>
          <cell r="C248" t="str">
            <v>ITOT_KEV_WST_ELC_CHP</v>
          </cell>
          <cell r="D248">
            <v>0.23004508076834598</v>
          </cell>
          <cell r="E248">
            <v>0.23015798149413452</v>
          </cell>
          <cell r="F248">
            <v>2.958919532228629E-4</v>
          </cell>
          <cell r="G248">
            <v>2.6392534957786484E-4</v>
          </cell>
          <cell r="H248">
            <v>5.4639260189497324E-4</v>
          </cell>
          <cell r="I248">
            <v>3.0154114622815291E-4</v>
          </cell>
          <cell r="J248">
            <v>1.0380660889903102E-4</v>
          </cell>
        </row>
        <row r="249">
          <cell r="A249" t="str">
            <v>D-RHNM_SOLELC</v>
          </cell>
          <cell r="B249" t="str">
            <v>VAR_fout</v>
          </cell>
          <cell r="C249" t="str">
            <v>ELC5</v>
          </cell>
          <cell r="D249"/>
          <cell r="E249">
            <v>6.6714518190246811E-6</v>
          </cell>
          <cell r="F249">
            <v>3.0131707469990501E-4</v>
          </cell>
          <cell r="G249">
            <v>1.4948604092077593E-4</v>
          </cell>
          <cell r="H249">
            <v>2.951357608456537E-4</v>
          </cell>
          <cell r="I249">
            <v>2.2487740318088119E-4</v>
          </cell>
          <cell r="J249">
            <v>1.3285677398715132E-4</v>
          </cell>
        </row>
        <row r="250">
          <cell r="A250" t="str">
            <v>D-RHNM_SOLELC</v>
          </cell>
          <cell r="B250" t="str">
            <v>VAR_fout</v>
          </cell>
          <cell r="C250" t="str">
            <v>RHNM_ELC</v>
          </cell>
          <cell r="D250"/>
          <cell r="E250">
            <v>7.0651384516545517E-6</v>
          </cell>
          <cell r="F250">
            <v>1.7010561295392803</v>
          </cell>
          <cell r="G250">
            <v>1.882974586457747</v>
          </cell>
          <cell r="H250">
            <v>1.9788440504799707</v>
          </cell>
          <cell r="I250">
            <v>2.0798915671154909</v>
          </cell>
          <cell r="J250">
            <v>2.2976075142630696</v>
          </cell>
        </row>
        <row r="251">
          <cell r="A251" t="str">
            <v>D-RHNM_SOLELC</v>
          </cell>
          <cell r="B251" t="str">
            <v>VAR_fin</v>
          </cell>
          <cell r="C251" t="str">
            <v>RHNM_SOL_ELC</v>
          </cell>
          <cell r="D251"/>
          <cell r="E251">
            <v>1.3314422493404562E-5</v>
          </cell>
          <cell r="F251">
            <v>1.7013574466139791</v>
          </cell>
          <cell r="G251">
            <v>1.8831240724986678</v>
          </cell>
          <cell r="H251">
            <v>1.9791391862408181</v>
          </cell>
          <cell r="I251">
            <v>2.0801164445186724</v>
          </cell>
          <cell r="J251">
            <v>2.2977403710370563</v>
          </cell>
        </row>
        <row r="252">
          <cell r="A252" t="str">
            <v>RHNM-SHSTG-ELCHP</v>
          </cell>
          <cell r="B252" t="str">
            <v>VAR_fout</v>
          </cell>
          <cell r="C252" t="str">
            <v>AUX_RHNM-SHSTG-ELCHP_OUT</v>
          </cell>
          <cell r="D252"/>
          <cell r="E252">
            <v>3.5405692291478319E-6</v>
          </cell>
          <cell r="F252">
            <v>0.15056410536603149</v>
          </cell>
          <cell r="G252">
            <v>0.3000338662678218</v>
          </cell>
          <cell r="H252">
            <v>0.36121781646739337</v>
          </cell>
          <cell r="I252">
            <v>0.43691657930533218</v>
          </cell>
          <cell r="J252">
            <v>0.62045653223157926</v>
          </cell>
          <cell r="K252"/>
        </row>
        <row r="253">
          <cell r="A253" t="str">
            <v>RHNM-SHSTG-ELCHP</v>
          </cell>
          <cell r="B253" t="str">
            <v>VAR_fout</v>
          </cell>
          <cell r="C253" t="str">
            <v>RHNM-SHAELCH</v>
          </cell>
          <cell r="D253"/>
          <cell r="E253">
            <v>3.5370321969508822E-6</v>
          </cell>
          <cell r="F253">
            <v>0.15041369167435717</v>
          </cell>
          <cell r="G253">
            <v>0.29973413213568623</v>
          </cell>
          <cell r="H253">
            <v>0.36085695950788543</v>
          </cell>
          <cell r="I253">
            <v>0.43648009920612607</v>
          </cell>
          <cell r="J253">
            <v>0.61983669553604359</v>
          </cell>
          <cell r="K253"/>
        </row>
        <row r="254">
          <cell r="A254" t="str">
            <v>RHNM-SHSTG-ELCHP</v>
          </cell>
          <cell r="B254" t="str">
            <v>VAR_fin</v>
          </cell>
          <cell r="C254" t="str">
            <v>RHNM-SHAELCH</v>
          </cell>
          <cell r="D254"/>
          <cell r="E254">
            <v>4.0375730974412349E-6</v>
          </cell>
          <cell r="F254">
            <v>0.15041374787990469</v>
          </cell>
          <cell r="G254">
            <v>0.29973487474137089</v>
          </cell>
          <cell r="H254">
            <v>0.3608579512471175</v>
          </cell>
          <cell r="I254">
            <v>0.43648219493666657</v>
          </cell>
          <cell r="J254">
            <v>0.61983887143875782</v>
          </cell>
          <cell r="K254"/>
        </row>
        <row r="255">
          <cell r="A255" t="str">
            <v>RHNM-SHSTG-ELCHP</v>
          </cell>
          <cell r="B255" t="str">
            <v>VAR_ncap</v>
          </cell>
          <cell r="C255" t="str">
            <v>-</v>
          </cell>
          <cell r="D255">
            <v>5.0707199715054603E-6</v>
          </cell>
          <cell r="E255">
            <v>7.6774163126848696E-6</v>
          </cell>
          <cell r="F255">
            <v>1.6714331189697399E-2</v>
          </cell>
          <cell r="G255">
            <v>1.4215178399398299E-2</v>
          </cell>
          <cell r="H255">
            <v>1.00547351634595E-2</v>
          </cell>
          <cell r="I255">
            <v>2.6262775534098601E-2</v>
          </cell>
          <cell r="J255">
            <v>3.8320633530516499E-2</v>
          </cell>
        </row>
        <row r="256">
          <cell r="A256" t="str">
            <v>RHNM-SHSTG-ELCHP</v>
          </cell>
          <cell r="B256" t="str">
            <v>VAR_cap</v>
          </cell>
          <cell r="C256" t="str">
            <v>-</v>
          </cell>
          <cell r="D256">
            <v>5.0707199715054603E-6</v>
          </cell>
          <cell r="E256">
            <v>8.0960359856569101E-6</v>
          </cell>
          <cell r="F256">
            <v>1.671922212354977E-2</v>
          </cell>
          <cell r="G256">
            <v>3.0930273167542054E-2</v>
          </cell>
          <cell r="H256">
            <v>4.0966623001727799E-2</v>
          </cell>
          <cell r="I256">
            <v>4.8960243980082432E-2</v>
          </cell>
          <cell r="J256">
            <v>6.1616239518421725E-2</v>
          </cell>
        </row>
        <row r="257">
          <cell r="A257" t="str">
            <v>D-SCOM_LTH</v>
          </cell>
          <cell r="B257" t="str">
            <v>VAR_fout</v>
          </cell>
          <cell r="C257" t="str">
            <v>SCOM_LTH_DH</v>
          </cell>
          <cell r="D257">
            <v>5.610001351477635</v>
          </cell>
          <cell r="E257">
            <v>6.0767030600791268</v>
          </cell>
          <cell r="F257">
            <v>5.9892066213564963</v>
          </cell>
          <cell r="G257">
            <v>6.9909215167352032</v>
          </cell>
          <cell r="H257">
            <v>7.6331252968936774</v>
          </cell>
          <cell r="I257">
            <v>7.9764022101424272</v>
          </cell>
          <cell r="J257">
            <v>8.4877192635665324</v>
          </cell>
          <cell r="K257"/>
        </row>
        <row r="258">
          <cell r="A258" t="str">
            <v>D-SCOM_LTH</v>
          </cell>
          <cell r="B258" t="str">
            <v>VAR_fin</v>
          </cell>
          <cell r="C258" t="str">
            <v>LTH</v>
          </cell>
          <cell r="D258">
            <v>6.098777202926323</v>
          </cell>
          <cell r="E258">
            <v>6.6044044972610729</v>
          </cell>
          <cell r="F258">
            <v>6.5067447831878287</v>
          </cell>
          <cell r="G258">
            <v>7.5900347548836384</v>
          </cell>
          <cell r="H258">
            <v>8.2818388923232327</v>
          </cell>
          <cell r="I258">
            <v>8.6486170413754149</v>
          </cell>
          <cell r="J258">
            <v>9.1909765669117274</v>
          </cell>
        </row>
        <row r="259">
          <cell r="A259" t="str">
            <v>D-SCOM_LTH</v>
          </cell>
          <cell r="B259" t="str">
            <v>VAR_ncap</v>
          </cell>
          <cell r="C259" t="str">
            <v>-</v>
          </cell>
          <cell r="D259">
            <v>0.84970021883962599</v>
          </cell>
          <cell r="E259">
            <v>1.07578258904549E-8</v>
          </cell>
          <cell r="F259">
            <v>1.23506822674258E-8</v>
          </cell>
          <cell r="G259">
            <v>1.43214777192618E-8</v>
          </cell>
          <cell r="H259">
            <v>2.12512959981306E-8</v>
          </cell>
          <cell r="I259">
            <v>2.1947973909310099E-8</v>
          </cell>
          <cell r="J259">
            <v>2.9243799489662099E-8</v>
          </cell>
          <cell r="K259"/>
        </row>
        <row r="260">
          <cell r="A260" t="str">
            <v>D-SCOM_LTH</v>
          </cell>
          <cell r="B260" t="str">
            <v>VAR_cap</v>
          </cell>
          <cell r="C260" t="str">
            <v>-</v>
          </cell>
          <cell r="D260">
            <v>0.84970021883962599</v>
          </cell>
          <cell r="E260">
            <v>0.84970022959745195</v>
          </cell>
          <cell r="F260">
            <v>0.84970024194813398</v>
          </cell>
          <cell r="G260">
            <v>0.84970025626961199</v>
          </cell>
          <cell r="H260">
            <v>0.84970027752090704</v>
          </cell>
          <cell r="I260">
            <v>0.84970029946888104</v>
          </cell>
          <cell r="J260">
            <v>0.84970032871268097</v>
          </cell>
          <cell r="K260"/>
        </row>
        <row r="261">
          <cell r="A261" t="str">
            <v>ITOT-SWHBIOBR</v>
          </cell>
          <cell r="B261" t="str">
            <v>VAR_fout</v>
          </cell>
          <cell r="C261" t="str">
            <v>ITOT-SWH</v>
          </cell>
          <cell r="D261">
            <v>0.31051352857913567</v>
          </cell>
          <cell r="E261">
            <v>0.3925194842148475</v>
          </cell>
          <cell r="F261">
            <v>1.2216315539110449</v>
          </cell>
          <cell r="G261">
            <v>3.2625663099833249</v>
          </cell>
          <cell r="H261">
            <v>3.8423876028013497</v>
          </cell>
          <cell r="I261">
            <v>5.9925025423934857</v>
          </cell>
          <cell r="J261">
            <v>7.6796088310063357</v>
          </cell>
          <cell r="K261"/>
        </row>
        <row r="262">
          <cell r="A262" t="str">
            <v>ITOT-SWHBIOBR</v>
          </cell>
          <cell r="B262" t="str">
            <v>VAR_fin</v>
          </cell>
          <cell r="C262" t="str">
            <v>IBIO</v>
          </cell>
          <cell r="D262">
            <v>0.43672788829695591</v>
          </cell>
          <cell r="E262">
            <v>0.552066785112303</v>
          </cell>
          <cell r="F262">
            <v>1.7181878395373353</v>
          </cell>
          <cell r="G262">
            <v>4.5887008579231034</v>
          </cell>
          <cell r="H262">
            <v>5.4042019729976758</v>
          </cell>
          <cell r="I262">
            <v>8.428273617993657</v>
          </cell>
          <cell r="J262">
            <v>10.666123376397696</v>
          </cell>
          <cell r="K262"/>
        </row>
        <row r="263">
          <cell r="A263" t="str">
            <v>ITOT-SWHBIOBR</v>
          </cell>
          <cell r="B263" t="str">
            <v>VAR_ncap</v>
          </cell>
          <cell r="C263" t="str">
            <v>-</v>
          </cell>
          <cell r="D263"/>
          <cell r="E263">
            <v>1.6895326571887501E-2</v>
          </cell>
          <cell r="F263">
            <v>3.8920840927460801E-2</v>
          </cell>
          <cell r="G263">
            <v>0.10682856659154701</v>
          </cell>
          <cell r="H263">
            <v>0.12452511563619099</v>
          </cell>
          <cell r="I263">
            <v>0.142046560352109</v>
          </cell>
          <cell r="J263">
            <v>0.33207109667285001</v>
          </cell>
        </row>
        <row r="264">
          <cell r="A264" t="str">
            <v>ITOT-SWHBIOBR</v>
          </cell>
          <cell r="B264" t="str">
            <v>VAR_cap</v>
          </cell>
          <cell r="C264" t="str">
            <v>-</v>
          </cell>
          <cell r="D264">
            <v>1.7013611085743299E-2</v>
          </cell>
          <cell r="E264">
            <v>3.3907692496632343E-2</v>
          </cell>
          <cell r="F264">
            <v>7.2826284531967017E-2</v>
          </cell>
          <cell r="G264">
            <v>0.17965215013179478</v>
          </cell>
          <cell r="H264">
            <v>0.2833269282536775</v>
          </cell>
          <cell r="I264">
            <v>0.34641855641956454</v>
          </cell>
          <cell r="J264">
            <v>0.48782908324258706</v>
          </cell>
        </row>
        <row r="265">
          <cell r="A265" t="str">
            <v>RHNS-SHPLTBR</v>
          </cell>
          <cell r="B265" t="str">
            <v>VAR_fout</v>
          </cell>
          <cell r="C265" t="str">
            <v>RHNS-SHPLT</v>
          </cell>
          <cell r="D265"/>
          <cell r="E265"/>
          <cell r="F265">
            <v>2.5831450217671625E-3</v>
          </cell>
          <cell r="G265">
            <v>6.2443531581287031E-3</v>
          </cell>
          <cell r="H265">
            <v>8.7687466636678247E-3</v>
          </cell>
          <cell r="I265">
            <v>1.1701692749797063E-2</v>
          </cell>
          <cell r="J265">
            <v>1.8155603755743203E-2</v>
          </cell>
        </row>
        <row r="266">
          <cell r="A266" t="str">
            <v>RHNS-SHPLTBR</v>
          </cell>
          <cell r="B266" t="str">
            <v>VAR_fin</v>
          </cell>
          <cell r="C266" t="str">
            <v>RPLT</v>
          </cell>
          <cell r="D266"/>
          <cell r="E266"/>
          <cell r="F266">
            <v>3.4717057072965467E-3</v>
          </cell>
          <cell r="G266">
            <v>8.3586271281836898E-3</v>
          </cell>
          <cell r="H266">
            <v>1.1707613082293873E-2</v>
          </cell>
          <cell r="I266">
            <v>1.5589135156701886E-2</v>
          </cell>
          <cell r="J266">
            <v>2.4152883693172221E-2</v>
          </cell>
        </row>
        <row r="267">
          <cell r="A267" t="str">
            <v>RHNS-SHPLTBR</v>
          </cell>
          <cell r="B267" t="str">
            <v>VAR_ncap</v>
          </cell>
          <cell r="C267" t="str">
            <v>-</v>
          </cell>
          <cell r="D267"/>
          <cell r="E267">
            <v>2.97508271521501E-8</v>
          </cell>
          <cell r="F267">
            <v>1.97877747897317E-4</v>
          </cell>
          <cell r="G267">
            <v>2.7613977541323802E-4</v>
          </cell>
          <cell r="H267">
            <v>1.78108792317752E-4</v>
          </cell>
          <cell r="I267">
            <v>4.58858944311028E-4</v>
          </cell>
          <cell r="J267">
            <v>9.2245136983686298E-4</v>
          </cell>
        </row>
        <row r="268">
          <cell r="A268" t="str">
            <v>RHNS-SHPLTBR</v>
          </cell>
          <cell r="B268" t="str">
            <v>VAR_cap</v>
          </cell>
          <cell r="C268" t="str">
            <v>-</v>
          </cell>
          <cell r="D268"/>
          <cell r="E268">
            <v>2.97508271521501E-8</v>
          </cell>
          <cell r="F268">
            <v>1.9787655267410677E-4</v>
          </cell>
          <cell r="G268">
            <v>4.7392038940237223E-4</v>
          </cell>
          <cell r="H268">
            <v>6.5200120336312856E-4</v>
          </cell>
          <cell r="I268">
            <v>8.6051066564322369E-4</v>
          </cell>
          <cell r="J268">
            <v>1.3307649749596784E-3</v>
          </cell>
        </row>
        <row r="269">
          <cell r="A269" t="str">
            <v>SCOM-SHLTHCHPNGA</v>
          </cell>
          <cell r="B269" t="str">
            <v>VAR_fout</v>
          </cell>
          <cell r="C269" t="str">
            <v>SCOM-SHLTHC-NGA</v>
          </cell>
          <cell r="D269">
            <v>0.68564988224864121</v>
          </cell>
          <cell r="E269">
            <v>0.74269006352711142</v>
          </cell>
          <cell r="F269"/>
          <cell r="G269"/>
          <cell r="H269"/>
          <cell r="I269"/>
          <cell r="J269"/>
        </row>
        <row r="270">
          <cell r="A270" t="str">
            <v>SCOM-SHLTHCHPNGA</v>
          </cell>
          <cell r="B270" t="str">
            <v>VAR_fin</v>
          </cell>
          <cell r="C270" t="str">
            <v>SCOMLTHCHPC</v>
          </cell>
          <cell r="D270">
            <v>0.68564988224864121</v>
          </cell>
          <cell r="E270">
            <v>0.74269006352711142</v>
          </cell>
          <cell r="F270"/>
          <cell r="G270"/>
          <cell r="H270"/>
          <cell r="I270"/>
          <cell r="J270"/>
          <cell r="K270"/>
        </row>
        <row r="271">
          <cell r="A271" t="str">
            <v>SCOM-SHLTHCHPNGA</v>
          </cell>
          <cell r="B271" t="str">
            <v>VAR_fin</v>
          </cell>
          <cell r="C271" t="str">
            <v>SCOM_LTH_CHPNGA_ON</v>
          </cell>
          <cell r="D271">
            <v>0.69257563863499105</v>
          </cell>
          <cell r="E271">
            <v>0.75019198336071857</v>
          </cell>
          <cell r="F271"/>
          <cell r="G271"/>
          <cell r="H271"/>
          <cell r="I271"/>
          <cell r="J271"/>
          <cell r="K271"/>
        </row>
        <row r="272">
          <cell r="A272" t="str">
            <v>SCOM-SHLTHCHPNGA</v>
          </cell>
          <cell r="B272" t="str">
            <v>VAR_ncap</v>
          </cell>
          <cell r="C272" t="str">
            <v>-</v>
          </cell>
          <cell r="D272">
            <v>2.2241700980225601E-8</v>
          </cell>
          <cell r="E272">
            <v>8.0968605399644403E-3</v>
          </cell>
          <cell r="F272">
            <v>6.4420078605404796E-4</v>
          </cell>
          <cell r="G272">
            <v>3.8839061803523798E-5</v>
          </cell>
          <cell r="H272">
            <v>7.1577536177301596E-5</v>
          </cell>
          <cell r="I272">
            <v>3.5487939168484702E-5</v>
          </cell>
          <cell r="J272">
            <v>4.5661760790911202E-6</v>
          </cell>
          <cell r="K272"/>
        </row>
        <row r="273">
          <cell r="A273" t="str">
            <v>SCOM-SHLTHCHPNGA</v>
          </cell>
          <cell r="B273" t="str">
            <v>VAR_cap</v>
          </cell>
          <cell r="C273" t="str">
            <v>-</v>
          </cell>
          <cell r="D273">
            <v>7.5969291200227884E-2</v>
          </cell>
          <cell r="E273">
            <v>5.7387884865303926E-2</v>
          </cell>
          <cell r="F273">
            <v>9.843007758614658E-4</v>
          </cell>
          <cell r="G273">
            <v>9.1692110481891853E-5</v>
          </cell>
          <cell r="H273">
            <v>1.0550492846918627E-4</v>
          </cell>
          <cell r="I273">
            <v>5.8035644752966981E-5</v>
          </cell>
          <cell r="J273">
            <v>1.0357068325802599E-5</v>
          </cell>
          <cell r="K273"/>
        </row>
        <row r="274">
          <cell r="A274" t="str">
            <v>ITOT-PROCESSCO2</v>
          </cell>
          <cell r="B274" t="str">
            <v>VAR_fout</v>
          </cell>
          <cell r="C274" t="str">
            <v>CO2</v>
          </cell>
          <cell r="D274">
            <v>2089.34680048464</v>
          </cell>
          <cell r="E274">
            <v>2111.0131698740802</v>
          </cell>
          <cell r="F274">
            <v>2102.26947106126</v>
          </cell>
          <cell r="G274">
            <v>2093.6570624126398</v>
          </cell>
          <cell r="H274">
            <v>2085.53495476948</v>
          </cell>
          <cell r="I274">
            <v>2077.4128471263102</v>
          </cell>
          <cell r="J274">
            <v>2063.74855625499</v>
          </cell>
          <cell r="K274"/>
        </row>
        <row r="275">
          <cell r="A275" t="str">
            <v>ITOT-PROCESSCO2</v>
          </cell>
          <cell r="B275" t="str">
            <v>VAR_fout</v>
          </cell>
          <cell r="C275" t="str">
            <v>CO2P</v>
          </cell>
          <cell r="D275">
            <v>2089.34680048464</v>
          </cell>
          <cell r="E275">
            <v>2111.0131698740802</v>
          </cell>
          <cell r="F275">
            <v>2102.26947106126</v>
          </cell>
          <cell r="G275">
            <v>2093.6570624126398</v>
          </cell>
          <cell r="H275">
            <v>2085.53495476948</v>
          </cell>
          <cell r="I275">
            <v>2077.4128471263102</v>
          </cell>
          <cell r="J275">
            <v>2063.74855625499</v>
          </cell>
          <cell r="K275"/>
        </row>
        <row r="276">
          <cell r="A276" t="str">
            <v>RHNM-SHWODBR</v>
          </cell>
          <cell r="B276" t="str">
            <v>VAR_fout</v>
          </cell>
          <cell r="C276" t="str">
            <v>RHNM-SHWOD</v>
          </cell>
          <cell r="D276"/>
          <cell r="E276">
            <v>8.1140758769824517E-2</v>
          </cell>
          <cell r="F276">
            <v>9.8860145724021617E-2</v>
          </cell>
          <cell r="G276">
            <v>0.15232166894354285</v>
          </cell>
          <cell r="H276">
            <v>0.1860310381426587</v>
          </cell>
          <cell r="I276">
            <v>0.21544137089135976</v>
          </cell>
          <cell r="J276">
            <v>0.25385711160277596</v>
          </cell>
          <cell r="K276"/>
        </row>
        <row r="277">
          <cell r="A277" t="str">
            <v>RHNM-SHWODBR</v>
          </cell>
          <cell r="B277" t="str">
            <v>VAR_fin</v>
          </cell>
          <cell r="C277" t="str">
            <v>RHNMWODBRC</v>
          </cell>
          <cell r="D277"/>
          <cell r="E277">
            <v>8.1140758769824517E-2</v>
          </cell>
          <cell r="F277">
            <v>9.8860145724021617E-2</v>
          </cell>
          <cell r="G277">
            <v>0.15232166894354285</v>
          </cell>
          <cell r="H277">
            <v>0.1860310381426587</v>
          </cell>
          <cell r="I277">
            <v>0.21544137089135976</v>
          </cell>
          <cell r="J277">
            <v>0.25385711160277596</v>
          </cell>
          <cell r="K277"/>
        </row>
        <row r="278">
          <cell r="A278" t="str">
            <v>RHNM-SHWODBR</v>
          </cell>
          <cell r="B278" t="str">
            <v>VAR_fin</v>
          </cell>
          <cell r="C278" t="str">
            <v>RWOD</v>
          </cell>
          <cell r="D278"/>
          <cell r="E278">
            <v>0.11269549829142286</v>
          </cell>
          <cell r="F278">
            <v>0.1331770404645633</v>
          </cell>
          <cell r="G278">
            <v>0.20459272666126427</v>
          </cell>
          <cell r="H278">
            <v>0.24928509877441046</v>
          </cell>
          <cell r="I278">
            <v>0.28809934894395206</v>
          </cell>
          <cell r="J278">
            <v>0.33947086520551473</v>
          </cell>
        </row>
        <row r="279">
          <cell r="A279" t="str">
            <v>RHNM-SHWODBR</v>
          </cell>
          <cell r="B279" t="str">
            <v>VAR_ncap</v>
          </cell>
          <cell r="C279" t="str">
            <v>-</v>
          </cell>
          <cell r="D279"/>
          <cell r="E279">
            <v>6.3101788601141002E-3</v>
          </cell>
          <cell r="F279">
            <v>5.5220210184442004E-3</v>
          </cell>
          <cell r="G279"/>
          <cell r="H279">
            <v>4.6587852525635201E-2</v>
          </cell>
          <cell r="I279"/>
          <cell r="J279"/>
          <cell r="K279"/>
        </row>
        <row r="280">
          <cell r="A280" t="str">
            <v>RHNM-SHWODBR</v>
          </cell>
          <cell r="B280" t="str">
            <v>VAR_cap</v>
          </cell>
          <cell r="C280" t="str">
            <v>-</v>
          </cell>
          <cell r="D280"/>
          <cell r="E280">
            <v>6.3101788601141002E-3</v>
          </cell>
          <cell r="F280">
            <v>1.1832032290870301E-2</v>
          </cell>
          <cell r="G280">
            <v>1.1832111228705805E-2</v>
          </cell>
          <cell r="H280">
            <v>4.6639309316404733E-2</v>
          </cell>
          <cell r="I280">
            <v>4.6591378552652385E-2</v>
          </cell>
          <cell r="J280">
            <v>1.9706399766626709E-2</v>
          </cell>
          <cell r="K280"/>
        </row>
        <row r="281">
          <cell r="A281" t="str">
            <v>RHNS-SHDEM</v>
          </cell>
          <cell r="B281" t="str">
            <v>VAR_fout</v>
          </cell>
          <cell r="C281" t="str">
            <v>RHNS-SHD</v>
          </cell>
          <cell r="D281"/>
          <cell r="E281">
            <v>0.40468474157116097</v>
          </cell>
          <cell r="F281">
            <v>1.4281636132699294</v>
          </cell>
          <cell r="G281">
            <v>2.8380313998942208</v>
          </cell>
          <cell r="H281">
            <v>3.6807626340115847</v>
          </cell>
          <cell r="I281">
            <v>4.3643140024971023</v>
          </cell>
          <cell r="J281">
            <v>5.3325984744252493</v>
          </cell>
        </row>
        <row r="282">
          <cell r="A282" t="str">
            <v>RHNS-SHDEM</v>
          </cell>
          <cell r="B282" t="str">
            <v>VAR_fin</v>
          </cell>
          <cell r="C282" t="str">
            <v>RHNS-SHLTHC-WOD</v>
          </cell>
          <cell r="D282"/>
          <cell r="E282"/>
          <cell r="F282">
            <v>3.1214246182079445E-5</v>
          </cell>
          <cell r="G282"/>
          <cell r="H282">
            <v>3.2331848080166707E-5</v>
          </cell>
          <cell r="I282"/>
          <cell r="J282">
            <v>3.9057085582301705E-5</v>
          </cell>
          <cell r="K282"/>
        </row>
        <row r="283">
          <cell r="A283" t="str">
            <v>RHNS-SHDEM</v>
          </cell>
          <cell r="B283" t="str">
            <v>VAR_fin</v>
          </cell>
          <cell r="C283" t="str">
            <v>RHNS-SHLFO</v>
          </cell>
          <cell r="D283"/>
          <cell r="E283">
            <v>9.0516739115170718E-5</v>
          </cell>
          <cell r="F283">
            <v>4.1527350676642268E-2</v>
          </cell>
          <cell r="G283">
            <v>6.423920921627016E-2</v>
          </cell>
          <cell r="H283">
            <v>7.3575029066570374E-2</v>
          </cell>
          <cell r="I283">
            <v>7.3021349816525943E-2</v>
          </cell>
          <cell r="J283"/>
          <cell r="K283"/>
        </row>
        <row r="284">
          <cell r="A284" t="str">
            <v>RHNS-SHDEM</v>
          </cell>
          <cell r="B284" t="str">
            <v>VAR_fin</v>
          </cell>
          <cell r="C284" t="str">
            <v>RHNS-SHNGAH</v>
          </cell>
          <cell r="D284"/>
          <cell r="E284"/>
          <cell r="F284">
            <v>0.16662146630758465</v>
          </cell>
          <cell r="G284">
            <v>0.53857960599033428</v>
          </cell>
          <cell r="H284">
            <v>0.77482276744216072</v>
          </cell>
          <cell r="I284">
            <v>0.96893995027970325</v>
          </cell>
          <cell r="J284">
            <v>1.2926554526159788</v>
          </cell>
          <cell r="K284"/>
        </row>
        <row r="285">
          <cell r="A285" t="str">
            <v>RHNS-SHDEM</v>
          </cell>
          <cell r="B285" t="str">
            <v>VAR_fin</v>
          </cell>
          <cell r="C285" t="str">
            <v>RHNS-SHCON</v>
          </cell>
          <cell r="D285"/>
          <cell r="E285"/>
          <cell r="F285">
            <v>3.8440432337272885E-4</v>
          </cell>
          <cell r="G285">
            <v>3.7596922393469628E-4</v>
          </cell>
          <cell r="H285">
            <v>4.85483409693499E-4</v>
          </cell>
          <cell r="I285">
            <v>4.3193248224700975E-3</v>
          </cell>
          <cell r="J285">
            <v>6.6953073274989047E-2</v>
          </cell>
          <cell r="K285"/>
        </row>
        <row r="286">
          <cell r="A286" t="str">
            <v>RHNS-SHDEM</v>
          </cell>
          <cell r="B286" t="str">
            <v>VAR_fin</v>
          </cell>
          <cell r="C286" t="str">
            <v>RHNS-SHWOD</v>
          </cell>
          <cell r="D286"/>
          <cell r="E286">
            <v>2.65157284792958E-2</v>
          </cell>
          <cell r="F286">
            <v>4.8741756312905581E-2</v>
          </cell>
          <cell r="G286">
            <v>8.6990302005700695E-2</v>
          </cell>
          <cell r="H286">
            <v>0.10845221978120466</v>
          </cell>
          <cell r="I286">
            <v>0.12566008874662998</v>
          </cell>
          <cell r="J286">
            <v>0.14379934779023504</v>
          </cell>
        </row>
        <row r="287">
          <cell r="A287" t="str">
            <v>RHNS-SHDEM</v>
          </cell>
          <cell r="B287" t="str">
            <v>VAR_fin</v>
          </cell>
          <cell r="C287" t="str">
            <v>RHNS-SHNST</v>
          </cell>
          <cell r="D287"/>
          <cell r="E287">
            <v>1.0168279526239616E-5</v>
          </cell>
          <cell r="F287">
            <v>2.1742158892996077E-5</v>
          </cell>
          <cell r="G287">
            <v>6.7475074070932588E-5</v>
          </cell>
          <cell r="H287">
            <v>2.4283617929696284E-5</v>
          </cell>
          <cell r="I287">
            <v>8.2496157890514876E-5</v>
          </cell>
          <cell r="J287">
            <v>7.4489700285126218E-5</v>
          </cell>
          <cell r="K287"/>
        </row>
        <row r="288">
          <cell r="A288" t="str">
            <v>RHNS-SHDEM</v>
          </cell>
          <cell r="B288" t="str">
            <v>VAR_fin</v>
          </cell>
          <cell r="C288" t="str">
            <v>RHNS-SHPLT</v>
          </cell>
          <cell r="D288"/>
          <cell r="E288">
            <v>3.8850197662815155E-5</v>
          </cell>
          <cell r="F288">
            <v>2.5826961330003748E-3</v>
          </cell>
          <cell r="G288">
            <v>6.2301673541243869E-3</v>
          </cell>
          <cell r="H288">
            <v>8.7453722435027817E-3</v>
          </cell>
          <cell r="I288">
            <v>1.1671700878865814E-2</v>
          </cell>
          <cell r="J288">
            <v>1.8074559183904222E-2</v>
          </cell>
        </row>
        <row r="289">
          <cell r="A289" t="str">
            <v>RHNS-SHDEM</v>
          </cell>
          <cell r="B289" t="str">
            <v>VAR_fin</v>
          </cell>
          <cell r="C289" t="str">
            <v>RHNS-SHLTHD</v>
          </cell>
          <cell r="D289"/>
          <cell r="E289">
            <v>5.390015175155978E-2</v>
          </cell>
          <cell r="F289">
            <v>4.0722021098670291E-3</v>
          </cell>
          <cell r="G289">
            <v>6.5354503759514912E-3</v>
          </cell>
          <cell r="H289">
            <v>8.5492261046888774E-3</v>
          </cell>
          <cell r="I289">
            <v>1.0365691491610389E-2</v>
          </cell>
          <cell r="J289">
            <v>1.2902224518709553E-2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RHNS-SHELCB</v>
          </cell>
          <cell r="D290"/>
          <cell r="E290">
            <v>6.8988880242521089E-2</v>
          </cell>
          <cell r="F290">
            <v>8.1751486862465025E-3</v>
          </cell>
          <cell r="G290">
            <v>1.7220771425817499E-2</v>
          </cell>
          <cell r="H290">
            <v>2.2859737863564621E-2</v>
          </cell>
          <cell r="I290">
            <v>2.7826598932615073E-2</v>
          </cell>
          <cell r="J290">
            <v>3.2098340773280658E-2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RHNS-SHELCH</v>
          </cell>
          <cell r="D291"/>
          <cell r="E291">
            <v>0.1388898724909064</v>
          </cell>
          <cell r="F291">
            <v>1.1006661701290659</v>
          </cell>
          <cell r="G291">
            <v>2.0043391029460906</v>
          </cell>
          <cell r="H291">
            <v>2.5388145595237561</v>
          </cell>
          <cell r="I291">
            <v>2.9770970980330214</v>
          </cell>
          <cell r="J291">
            <v>3.5896253453155742</v>
          </cell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RHNS-SHSOL</v>
          </cell>
          <cell r="D292"/>
          <cell r="E292">
            <v>1.3340315834769727E-2</v>
          </cell>
          <cell r="F292">
            <v>1.5685592814556628E-4</v>
          </cell>
          <cell r="G292">
            <v>2.5424638700148161E-4</v>
          </cell>
          <cell r="H292">
            <v>3.4879012007248757E-4</v>
          </cell>
          <cell r="I292">
            <v>4.3577239320700446E-4</v>
          </cell>
          <cell r="J292">
            <v>7.735016956158503E-4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RHNS-SHLTHC-NGA</v>
          </cell>
          <cell r="D293"/>
          <cell r="E293">
            <v>8.8298984722563225E-4</v>
          </cell>
          <cell r="F293">
            <v>1.2295727319366819E-5</v>
          </cell>
          <cell r="G293"/>
          <cell r="H293">
            <v>3.0216683836047057E-5</v>
          </cell>
          <cell r="I293"/>
          <cell r="J293">
            <v>1.8204689244137499E-7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RHNS-SHNGA</v>
          </cell>
          <cell r="D294"/>
          <cell r="E294">
            <v>0.10206992858276259</v>
          </cell>
          <cell r="F294">
            <v>5.5255158133179917E-2</v>
          </cell>
          <cell r="G294">
            <v>0.11326804417827523</v>
          </cell>
          <cell r="H294">
            <v>0.14409785383731219</v>
          </cell>
          <cell r="I294">
            <v>0.16495516315282249</v>
          </cell>
          <cell r="J294">
            <v>0.17565009705642218</v>
          </cell>
          <cell r="K294"/>
        </row>
        <row r="295">
          <cell r="A295" t="str">
            <v>RES-ELCSPEC</v>
          </cell>
          <cell r="B295" t="str">
            <v>VAR_fout</v>
          </cell>
          <cell r="C295" t="str">
            <v>RHSA-ELS</v>
          </cell>
          <cell r="D295">
            <v>44.576905675476212</v>
          </cell>
          <cell r="E295">
            <v>44.861180662748197</v>
          </cell>
          <cell r="F295">
            <v>49.523391932068883</v>
          </cell>
          <cell r="G295">
            <v>50.016883451970948</v>
          </cell>
          <cell r="H295">
            <v>50.491599087426216</v>
          </cell>
          <cell r="I295">
            <v>50.540450885682326</v>
          </cell>
          <cell r="J295">
            <v>50.053492172893932</v>
          </cell>
          <cell r="K295"/>
        </row>
        <row r="296">
          <cell r="A296" t="str">
            <v>RES-ELCSPEC</v>
          </cell>
          <cell r="B296" t="str">
            <v>VAR_fin</v>
          </cell>
          <cell r="C296" t="str">
            <v>RHSA_ELC</v>
          </cell>
          <cell r="D296">
            <v>44.576905675476212</v>
          </cell>
          <cell r="E296">
            <v>44.861180662748197</v>
          </cell>
          <cell r="F296">
            <v>49.523391932068883</v>
          </cell>
          <cell r="G296">
            <v>50.016883451970948</v>
          </cell>
          <cell r="H296">
            <v>50.491599087426216</v>
          </cell>
          <cell r="I296">
            <v>50.540450885682326</v>
          </cell>
          <cell r="J296">
            <v>50.053492172893932</v>
          </cell>
          <cell r="K296"/>
        </row>
        <row r="297">
          <cell r="A297" t="str">
            <v>RES-ELCSPEC</v>
          </cell>
          <cell r="B297" t="str">
            <v>VAR_ncap</v>
          </cell>
          <cell r="C297" t="str">
            <v>-</v>
          </cell>
          <cell r="D297">
            <v>0.19321171654553301</v>
          </cell>
          <cell r="E297">
            <v>1.3376266494924699E-6</v>
          </cell>
          <cell r="F297">
            <v>0.47633543439591702</v>
          </cell>
          <cell r="G297">
            <v>5.2161942252525503E-2</v>
          </cell>
          <cell r="H297">
            <v>5.0178766636144699E-2</v>
          </cell>
          <cell r="I297">
            <v>5.1649709866910896E-3</v>
          </cell>
          <cell r="J297">
            <v>4.5691118740097298</v>
          </cell>
          <cell r="K297"/>
        </row>
        <row r="298">
          <cell r="A298" t="str">
            <v>RES-ELCSPEC</v>
          </cell>
          <cell r="B298" t="str">
            <v>VAR_cap</v>
          </cell>
          <cell r="C298" t="str">
            <v>-</v>
          </cell>
          <cell r="D298">
            <v>4.7117484006760026</v>
          </cell>
          <cell r="E298">
            <v>4.7423677722860269</v>
          </cell>
          <cell r="F298">
            <v>5.2345885989553658</v>
          </cell>
          <cell r="G298">
            <v>5.2867501058769593</v>
          </cell>
          <cell r="H298">
            <v>5.3369274884567393</v>
          </cell>
          <cell r="I298">
            <v>5.342090863294862</v>
          </cell>
          <cell r="J298">
            <v>5.2906192791692179</v>
          </cell>
          <cell r="K298"/>
        </row>
        <row r="299">
          <cell r="A299" t="str">
            <v>SCOM-SHCONBR1</v>
          </cell>
          <cell r="B299" t="str">
            <v>VAR_fout</v>
          </cell>
          <cell r="C299" t="str">
            <v>SCOM-SHCON</v>
          </cell>
          <cell r="D299"/>
          <cell r="E299">
            <v>1.5197599283489029</v>
          </cell>
          <cell r="F299">
            <v>0.48779149178631059</v>
          </cell>
          <cell r="G299">
            <v>0.88190403410031581</v>
          </cell>
          <cell r="H299">
            <v>1.2727833284526069</v>
          </cell>
          <cell r="I299">
            <v>2.1658508709745568</v>
          </cell>
          <cell r="J299">
            <v>2.6177932429068966</v>
          </cell>
          <cell r="K299"/>
        </row>
        <row r="300">
          <cell r="A300" t="str">
            <v>SCOM-SHCONBR1</v>
          </cell>
          <cell r="B300" t="str">
            <v>VAR_fin</v>
          </cell>
          <cell r="C300" t="str">
            <v>CON</v>
          </cell>
          <cell r="D300"/>
          <cell r="E300">
            <v>1.5197599283489029</v>
          </cell>
          <cell r="F300">
            <v>0.48779149178631059</v>
          </cell>
          <cell r="G300">
            <v>0.88190403410031581</v>
          </cell>
          <cell r="H300">
            <v>1.2727833284526069</v>
          </cell>
          <cell r="I300">
            <v>2.1658508709745568</v>
          </cell>
          <cell r="J300">
            <v>2.6177932429068966</v>
          </cell>
          <cell r="K300"/>
        </row>
        <row r="301">
          <cell r="A301" t="str">
            <v>SCOM-SHCONBR1</v>
          </cell>
          <cell r="B301" t="str">
            <v>VAR_ncap</v>
          </cell>
          <cell r="C301" t="str">
            <v>-</v>
          </cell>
          <cell r="D301"/>
          <cell r="E301">
            <v>0.11743138343825101</v>
          </cell>
          <cell r="F301">
            <v>4.1844544905004301E-8</v>
          </cell>
          <cell r="G301">
            <v>9.8737018309558201E-8</v>
          </cell>
          <cell r="H301">
            <v>1.57509633741354E-7</v>
          </cell>
          <cell r="I301">
            <v>5.07702061043891E-2</v>
          </cell>
          <cell r="J301">
            <v>8.8513602958964294E-2</v>
          </cell>
          <cell r="K301"/>
        </row>
        <row r="302">
          <cell r="A302" t="str">
            <v>SCOM-SHCONBR1</v>
          </cell>
          <cell r="B302" t="str">
            <v>VAR_cap</v>
          </cell>
          <cell r="C302" t="str">
            <v>-</v>
          </cell>
          <cell r="D302"/>
          <cell r="E302">
            <v>0.11743138343825101</v>
          </cell>
          <cell r="F302">
            <v>0.11743124345379012</v>
          </cell>
          <cell r="G302">
            <v>0.11743123016189297</v>
          </cell>
          <cell r="H302">
            <v>0.11743132694515135</v>
          </cell>
          <cell r="I302">
            <v>0.16820178616118711</v>
          </cell>
          <cell r="J302">
            <v>0.20717124649381435</v>
          </cell>
          <cell r="K302"/>
        </row>
        <row r="303">
          <cell r="A303" t="str">
            <v>RHSA-WHSTG-SOL</v>
          </cell>
          <cell r="B303" t="str">
            <v>VAR_fout</v>
          </cell>
          <cell r="C303" t="str">
            <v>RHSA-WHASOL</v>
          </cell>
          <cell r="D303">
            <v>0.42072782585916568</v>
          </cell>
          <cell r="E303">
            <v>0.49413025597698818</v>
          </cell>
          <cell r="F303">
            <v>0.36011367804327249</v>
          </cell>
          <cell r="G303">
            <v>0.44015508520914998</v>
          </cell>
          <cell r="H303">
            <v>0.41684165743608137</v>
          </cell>
          <cell r="I303">
            <v>0.45458719524470842</v>
          </cell>
          <cell r="J303">
            <v>0.57862363461801292</v>
          </cell>
          <cell r="K303"/>
        </row>
        <row r="304">
          <cell r="A304" t="str">
            <v>RHSA-WHSTG-SOL</v>
          </cell>
          <cell r="B304" t="str">
            <v>VAR_fout</v>
          </cell>
          <cell r="C304" t="str">
            <v>AUX_RHSA-WHSTG-SOL_OUT</v>
          </cell>
          <cell r="D304">
            <v>0.42114855368502468</v>
          </cell>
          <cell r="E304">
            <v>0.49462438623296479</v>
          </cell>
          <cell r="F304">
            <v>0.36047379172131588</v>
          </cell>
          <cell r="G304">
            <v>0.44059524029435909</v>
          </cell>
          <cell r="H304">
            <v>0.41725849909351731</v>
          </cell>
          <cell r="I304">
            <v>0.45504178243995347</v>
          </cell>
          <cell r="J304">
            <v>0.57920225825263105</v>
          </cell>
          <cell r="K304"/>
        </row>
        <row r="305">
          <cell r="A305" t="str">
            <v>RHSA-WHSTG-SOL</v>
          </cell>
          <cell r="B305" t="str">
            <v>VAR_fin</v>
          </cell>
          <cell r="C305" t="str">
            <v>RHSA-WHASOL</v>
          </cell>
          <cell r="D305">
            <v>0.42072121541991159</v>
          </cell>
          <cell r="E305">
            <v>0.4941388032703104</v>
          </cell>
          <cell r="F305">
            <v>0.36012214532686221</v>
          </cell>
          <cell r="G305">
            <v>0.44016296404271743</v>
          </cell>
          <cell r="H305">
            <v>0.41684802661507681</v>
          </cell>
          <cell r="I305">
            <v>0.45459091145144109</v>
          </cell>
          <cell r="J305">
            <v>0.57862852122344932</v>
          </cell>
        </row>
        <row r="306">
          <cell r="A306" t="str">
            <v>RHSA-WHSTG-SOL</v>
          </cell>
          <cell r="B306" t="str">
            <v>VAR_ncap</v>
          </cell>
          <cell r="C306" t="str">
            <v>-</v>
          </cell>
          <cell r="D306">
            <v>6.5330001777000504E-2</v>
          </cell>
          <cell r="E306">
            <v>1.29150674874295E-2</v>
          </cell>
          <cell r="F306">
            <v>1.35033602167057E-7</v>
          </cell>
          <cell r="G306">
            <v>3.1925852830622101E-7</v>
          </cell>
          <cell r="H306">
            <v>3.97951639047356E-2</v>
          </cell>
          <cell r="I306">
            <v>3.02312555083749E-2</v>
          </cell>
          <cell r="J306">
            <v>5.3093088298953602E-2</v>
          </cell>
          <cell r="K306"/>
        </row>
        <row r="307">
          <cell r="A307" t="str">
            <v>RHSA-WHSTG-SOL</v>
          </cell>
          <cell r="B307" t="str">
            <v>VAR_cap</v>
          </cell>
          <cell r="C307" t="str">
            <v>-</v>
          </cell>
          <cell r="D307">
            <v>6.5331064329964106E-2</v>
          </cell>
          <cell r="E307">
            <v>7.8246131817393608E-2</v>
          </cell>
          <cell r="F307">
            <v>7.8246266850995699E-2</v>
          </cell>
          <cell r="G307">
            <v>7.8246586109524008E-2</v>
          </cell>
          <cell r="H307">
            <v>6.3355172848353958E-2</v>
          </cell>
          <cell r="I307">
            <v>7.0026661379725894E-2</v>
          </cell>
          <cell r="J307">
            <v>9.1866065371270803E-2</v>
          </cell>
        </row>
        <row r="308">
          <cell r="A308" t="str">
            <v>SCOM-SHCONBR2</v>
          </cell>
          <cell r="B308" t="str">
            <v>VAR_fout</v>
          </cell>
          <cell r="C308" t="str">
            <v>SCOM-SHCON</v>
          </cell>
          <cell r="D308"/>
          <cell r="E308">
            <v>2.3670519184193863</v>
          </cell>
          <cell r="F308">
            <v>0.72276697379591937</v>
          </cell>
          <cell r="G308">
            <v>1.3997568610638251</v>
          </cell>
          <cell r="H308">
            <v>2.0030459376624719</v>
          </cell>
          <cell r="I308">
            <v>2.3556156969383859</v>
          </cell>
          <cell r="J308">
            <v>4.0772693978047529</v>
          </cell>
          <cell r="K308"/>
        </row>
        <row r="309">
          <cell r="A309" t="str">
            <v>SCOM-SHCONBR2</v>
          </cell>
          <cell r="B309" t="str">
            <v>VAR_fin</v>
          </cell>
          <cell r="C309" t="str">
            <v>CON</v>
          </cell>
          <cell r="D309"/>
          <cell r="E309">
            <v>2.3670519184193863</v>
          </cell>
          <cell r="F309">
            <v>0.72276697379591937</v>
          </cell>
          <cell r="G309">
            <v>1.3997568610638251</v>
          </cell>
          <cell r="H309">
            <v>2.0030459376624719</v>
          </cell>
          <cell r="I309">
            <v>2.3556156969383859</v>
          </cell>
          <cell r="J309">
            <v>4.0772693978047529</v>
          </cell>
          <cell r="K309"/>
        </row>
        <row r="310">
          <cell r="A310" t="str">
            <v>SCOM-SHCONBR2</v>
          </cell>
          <cell r="B310" t="str">
            <v>VAR_ncap</v>
          </cell>
          <cell r="C310" t="str">
            <v>-</v>
          </cell>
          <cell r="D310"/>
          <cell r="E310">
            <v>0.182901933940987</v>
          </cell>
          <cell r="F310">
            <v>3.6974076484241803E-8</v>
          </cell>
          <cell r="G310">
            <v>8.3548541103036904E-8</v>
          </cell>
          <cell r="H310">
            <v>1.23358615647336E-7</v>
          </cell>
          <cell r="I310">
            <v>8.1701222721244895E-7</v>
          </cell>
          <cell r="J310">
            <v>0.210366742807924</v>
          </cell>
          <cell r="K310"/>
        </row>
        <row r="311">
          <cell r="A311" t="str">
            <v>SCOM-SHCONBR2</v>
          </cell>
          <cell r="B311" t="str">
            <v>VAR_cap</v>
          </cell>
          <cell r="C311" t="str">
            <v>-</v>
          </cell>
          <cell r="D311"/>
          <cell r="E311">
            <v>0.182901933940987</v>
          </cell>
          <cell r="F311">
            <v>0.18290178729048553</v>
          </cell>
          <cell r="G311">
            <v>0.18290175866841607</v>
          </cell>
          <cell r="H311">
            <v>0.18290182157979154</v>
          </cell>
          <cell r="I311">
            <v>0.18290289293522818</v>
          </cell>
          <cell r="J311">
            <v>0.31610353869290786</v>
          </cell>
        </row>
        <row r="312">
          <cell r="A312" t="str">
            <v>SCOM-SHCONBR3</v>
          </cell>
          <cell r="B312" t="str">
            <v>VAR_fout</v>
          </cell>
          <cell r="C312" t="str">
            <v>SCOM-SHCON</v>
          </cell>
          <cell r="D312"/>
          <cell r="E312">
            <v>1.9020154475600723</v>
          </cell>
          <cell r="F312">
            <v>0.59319854858764332</v>
          </cell>
          <cell r="G312">
            <v>1.1134750731955332</v>
          </cell>
          <cell r="H312">
            <v>1.6048552201092601</v>
          </cell>
          <cell r="I312">
            <v>1.8917455289570138</v>
          </cell>
          <cell r="J312">
            <v>3.2762342864943794</v>
          </cell>
        </row>
        <row r="313">
          <cell r="A313" t="str">
            <v>SCOM-SHCONBR3</v>
          </cell>
          <cell r="B313" t="str">
            <v>VAR_fin</v>
          </cell>
          <cell r="C313" t="str">
            <v>CON</v>
          </cell>
          <cell r="D313"/>
          <cell r="E313">
            <v>1.9020154475600723</v>
          </cell>
          <cell r="F313">
            <v>0.59319854858764332</v>
          </cell>
          <cell r="G313">
            <v>1.1134750731955332</v>
          </cell>
          <cell r="H313">
            <v>1.6048552201092601</v>
          </cell>
          <cell r="I313">
            <v>1.8917455289570138</v>
          </cell>
          <cell r="J313">
            <v>3.2762342864943794</v>
          </cell>
          <cell r="K313"/>
        </row>
        <row r="314">
          <cell r="A314" t="str">
            <v>SCOM-SHCONBR3</v>
          </cell>
          <cell r="B314" t="str">
            <v>VAR_ncap</v>
          </cell>
          <cell r="C314" t="str">
            <v>-</v>
          </cell>
          <cell r="D314"/>
          <cell r="E314">
            <v>0.14696837992429801</v>
          </cell>
          <cell r="F314">
            <v>1.7523614708501699E-8</v>
          </cell>
          <cell r="G314">
            <v>3.0947608310312301E-8</v>
          </cell>
          <cell r="H314">
            <v>3.9888820403430897E-8</v>
          </cell>
          <cell r="I314">
            <v>6.4553060974894597E-8</v>
          </cell>
          <cell r="J314">
            <v>0.16819626714239599</v>
          </cell>
        </row>
        <row r="315">
          <cell r="A315" t="str">
            <v>SCOM-SHCONBR3</v>
          </cell>
          <cell r="B315" t="str">
            <v>VAR_cap</v>
          </cell>
          <cell r="C315" t="str">
            <v>-</v>
          </cell>
          <cell r="D315"/>
          <cell r="E315">
            <v>0.14696837992429801</v>
          </cell>
          <cell r="F315">
            <v>0.14696821491102646</v>
          </cell>
          <cell r="G315">
            <v>0.14696813437753331</v>
          </cell>
          <cell r="H315">
            <v>0.14696811439409788</v>
          </cell>
          <cell r="I315">
            <v>0.14696843342817101</v>
          </cell>
          <cell r="J315">
            <v>0.25315896838623975</v>
          </cell>
        </row>
        <row r="316">
          <cell r="A316" t="str">
            <v>SCOM-SHCONBR4</v>
          </cell>
          <cell r="B316" t="str">
            <v>VAR_fout</v>
          </cell>
          <cell r="C316" t="str">
            <v>SCOM-SHCON</v>
          </cell>
          <cell r="D316"/>
          <cell r="E316">
            <v>0.52287851240855054</v>
          </cell>
          <cell r="F316">
            <v>0.19657216366563099</v>
          </cell>
          <cell r="G316">
            <v>0.29746431544512536</v>
          </cell>
          <cell r="H316">
            <v>0.4290537399745325</v>
          </cell>
          <cell r="I316">
            <v>0.5168721664767012</v>
          </cell>
          <cell r="J316">
            <v>0.42157739241521014</v>
          </cell>
          <cell r="K316"/>
        </row>
        <row r="317">
          <cell r="A317" t="str">
            <v>SCOM-SHCONBR4</v>
          </cell>
          <cell r="B317" t="str">
            <v>VAR_fin</v>
          </cell>
          <cell r="C317" t="str">
            <v>CON</v>
          </cell>
          <cell r="D317"/>
          <cell r="E317">
            <v>0.52287851240855054</v>
          </cell>
          <cell r="F317">
            <v>0.19657216366563099</v>
          </cell>
          <cell r="G317">
            <v>0.29746431544512536</v>
          </cell>
          <cell r="H317">
            <v>0.4290537399745325</v>
          </cell>
          <cell r="I317">
            <v>0.5168721664767012</v>
          </cell>
          <cell r="J317">
            <v>0.42157739241521014</v>
          </cell>
          <cell r="K317"/>
        </row>
        <row r="318">
          <cell r="A318" t="str">
            <v>SCOM-SHCONBR4</v>
          </cell>
          <cell r="B318" t="str">
            <v>VAR_ncap</v>
          </cell>
          <cell r="C318" t="str">
            <v>-</v>
          </cell>
          <cell r="D318"/>
          <cell r="E318">
            <v>4.0401865197878098E-2</v>
          </cell>
          <cell r="F318">
            <v>1.45405747745437E-8</v>
          </cell>
          <cell r="G318">
            <v>2.3631585588964901E-8</v>
          </cell>
          <cell r="H318">
            <v>2.9119452866393599E-8</v>
          </cell>
          <cell r="I318">
            <v>4.4510549528541001E-8</v>
          </cell>
          <cell r="J318">
            <v>9.22101301844243E-3</v>
          </cell>
          <cell r="K318"/>
        </row>
        <row r="319">
          <cell r="A319" t="str">
            <v>SCOM-SHCONBR4</v>
          </cell>
          <cell r="B319" t="str">
            <v>VAR_cap</v>
          </cell>
          <cell r="C319" t="str">
            <v>-</v>
          </cell>
          <cell r="D319"/>
          <cell r="E319">
            <v>4.0401865197878098E-2</v>
          </cell>
          <cell r="F319">
            <v>4.0401704507566513E-2</v>
          </cell>
          <cell r="G319">
            <v>4.0401618577506959E-2</v>
          </cell>
          <cell r="H319">
            <v>4.0401586942471292E-2</v>
          </cell>
          <cell r="I319">
            <v>4.0401879915550408E-2</v>
          </cell>
          <cell r="J319">
            <v>3.2577472974913452E-2</v>
          </cell>
        </row>
        <row r="320">
          <cell r="A320" t="str">
            <v>RHEM-SHNGABR</v>
          </cell>
          <cell r="B320" t="str">
            <v>VAR_fout</v>
          </cell>
          <cell r="C320" t="str">
            <v>CO2_R</v>
          </cell>
          <cell r="D320">
            <v>1127.9631648260799</v>
          </cell>
          <cell r="E320">
            <v>1131.3649396560199</v>
          </cell>
          <cell r="F320">
            <v>1305.2008563034799</v>
          </cell>
          <cell r="G320">
            <v>1100.53904271178</v>
          </cell>
          <cell r="H320">
            <v>886.29507675890602</v>
          </cell>
          <cell r="I320">
            <v>665.84751289411997</v>
          </cell>
          <cell r="J320">
            <v>293.40018184140803</v>
          </cell>
        </row>
        <row r="321">
          <cell r="A321" t="str">
            <v>RHEM-SHNGABR</v>
          </cell>
          <cell r="B321" t="str">
            <v>VAR_fout</v>
          </cell>
          <cell r="C321" t="str">
            <v>RHEM-SHNGA</v>
          </cell>
          <cell r="D321">
            <v>18.999379549375433</v>
          </cell>
          <cell r="E321">
            <v>19.056678948106725</v>
          </cell>
          <cell r="F321">
            <v>21.837940615917589</v>
          </cell>
          <cell r="G321">
            <v>18.526424790110806</v>
          </cell>
          <cell r="H321">
            <v>14.946283272274158</v>
          </cell>
          <cell r="I321">
            <v>11.228704530603988</v>
          </cell>
          <cell r="J321">
            <v>4.9496248852921108</v>
          </cell>
          <cell r="K321"/>
        </row>
        <row r="322">
          <cell r="A322" t="str">
            <v>RHEM-SHNGABR</v>
          </cell>
          <cell r="B322" t="str">
            <v>VAR_fin</v>
          </cell>
          <cell r="C322" t="str">
            <v>RNGA</v>
          </cell>
          <cell r="D322">
            <v>19.999346894079398</v>
          </cell>
          <cell r="E322">
            <v>20.059662050638675</v>
          </cell>
          <cell r="F322">
            <v>23.141859154317117</v>
          </cell>
          <cell r="G322">
            <v>19.513103594180581</v>
          </cell>
          <cell r="H322">
            <v>15.714451715583452</v>
          </cell>
          <cell r="I322">
            <v>11.8058069662078</v>
          </cell>
          <cell r="J322">
            <v>5.2021308837129041</v>
          </cell>
          <cell r="K322"/>
        </row>
        <row r="323">
          <cell r="A323" t="str">
            <v>RHEM-SHNGABR</v>
          </cell>
          <cell r="B323" t="str">
            <v>VAR_ncap</v>
          </cell>
          <cell r="C323" t="str">
            <v>-</v>
          </cell>
          <cell r="D323"/>
          <cell r="E323">
            <v>1.33658010731972E-6</v>
          </cell>
          <cell r="F323">
            <v>0.195227837034879</v>
          </cell>
          <cell r="G323">
            <v>1.27877973780413E-7</v>
          </cell>
          <cell r="H323">
            <v>0.51101358529999896</v>
          </cell>
          <cell r="I323">
            <v>0.24731791681238</v>
          </cell>
          <cell r="J323">
            <v>6.9806780015364801E-8</v>
          </cell>
        </row>
        <row r="324">
          <cell r="A324" t="str">
            <v>RHEM-SHNGABR</v>
          </cell>
          <cell r="B324" t="str">
            <v>VAR_cap</v>
          </cell>
          <cell r="C324" t="str">
            <v>-</v>
          </cell>
          <cell r="D324">
            <v>1.34683498965227</v>
          </cell>
          <cell r="E324">
            <v>1.3468361798504866</v>
          </cell>
          <cell r="F324">
            <v>1.5420640745815526</v>
          </cell>
          <cell r="G324">
            <v>1.542027525091779</v>
          </cell>
          <cell r="H324">
            <v>1.0555123839115708</v>
          </cell>
          <cell r="I324">
            <v>0.7929105369151852</v>
          </cell>
          <cell r="J324">
            <v>0.36051058385651991</v>
          </cell>
        </row>
        <row r="325">
          <cell r="A325" t="str">
            <v>SCOM-SHCONBR5</v>
          </cell>
          <cell r="B325" t="str">
            <v>VAR_fout</v>
          </cell>
          <cell r="C325" t="str">
            <v>SCOM-SHCON</v>
          </cell>
          <cell r="D325"/>
          <cell r="E325">
            <v>0.65260594348418621</v>
          </cell>
          <cell r="F325">
            <v>0.23724294356240705</v>
          </cell>
          <cell r="G325">
            <v>0.37192304766355738</v>
          </cell>
          <cell r="H325">
            <v>0.53839345389731741</v>
          </cell>
          <cell r="I325">
            <v>0.64601900814243429</v>
          </cell>
          <cell r="J325">
            <v>0.37724120158781688</v>
          </cell>
        </row>
        <row r="326">
          <cell r="A326" t="str">
            <v>SCOM-SHCONBR5</v>
          </cell>
          <cell r="B326" t="str">
            <v>VAR_fin</v>
          </cell>
          <cell r="C326" t="str">
            <v>CON</v>
          </cell>
          <cell r="D326"/>
          <cell r="E326">
            <v>0.65260594348418621</v>
          </cell>
          <cell r="F326">
            <v>0.23724294356240705</v>
          </cell>
          <cell r="G326">
            <v>0.37192304766355738</v>
          </cell>
          <cell r="H326">
            <v>0.53839345389731741</v>
          </cell>
          <cell r="I326">
            <v>0.64601900814243429</v>
          </cell>
          <cell r="J326">
            <v>0.37724120158781688</v>
          </cell>
          <cell r="K326"/>
        </row>
        <row r="327">
          <cell r="A327" t="str">
            <v>SCOM-SHCONBR5</v>
          </cell>
          <cell r="B327" t="str">
            <v>VAR_ncap</v>
          </cell>
          <cell r="C327" t="str">
            <v>-</v>
          </cell>
          <cell r="D327"/>
          <cell r="E327">
            <v>5.0426034838215901E-2</v>
          </cell>
          <cell r="F327">
            <v>1.25538768567145E-8</v>
          </cell>
          <cell r="G327">
            <v>1.9210755499250901E-8</v>
          </cell>
          <cell r="H327">
            <v>2.25158713360256E-8</v>
          </cell>
          <cell r="I327">
            <v>3.3140168058748E-8</v>
          </cell>
          <cell r="J327">
            <v>1.7326369324656301E-7</v>
          </cell>
          <cell r="K327"/>
        </row>
        <row r="328">
          <cell r="A328" t="str">
            <v>SCOM-SHCONBR5</v>
          </cell>
          <cell r="B328" t="str">
            <v>VAR_cap</v>
          </cell>
          <cell r="C328" t="str">
            <v>-</v>
          </cell>
          <cell r="D328"/>
          <cell r="E328">
            <v>5.0426034838215901E-2</v>
          </cell>
          <cell r="F328">
            <v>5.0425870605401164E-2</v>
          </cell>
          <cell r="G328">
            <v>5.0425779830278634E-2</v>
          </cell>
          <cell r="H328">
            <v>5.0425741879429518E-2</v>
          </cell>
          <cell r="I328">
            <v>5.0426025170274121E-2</v>
          </cell>
          <cell r="J328">
            <v>2.9151592142535331E-2</v>
          </cell>
        </row>
        <row r="329">
          <cell r="A329" t="str">
            <v>RHES-SHSTG-ELCHP</v>
          </cell>
          <cell r="B329" t="str">
            <v>VAR_fout</v>
          </cell>
          <cell r="C329" t="str">
            <v>RHES-SHAELCH</v>
          </cell>
          <cell r="D329">
            <v>0.99334079393029906</v>
          </cell>
          <cell r="E329">
            <v>1.5141956940420582</v>
          </cell>
          <cell r="F329">
            <v>2.8846459082707581</v>
          </cell>
          <cell r="G329">
            <v>3.7914918404524904</v>
          </cell>
          <cell r="H329">
            <v>3.6976289527130226</v>
          </cell>
          <cell r="I329">
            <v>4.1137089174185295</v>
          </cell>
          <cell r="J329">
            <v>4.1657150621797454</v>
          </cell>
          <cell r="K329"/>
        </row>
        <row r="330">
          <cell r="A330" t="str">
            <v>RHES-SHSTG-ELCHP</v>
          </cell>
          <cell r="B330" t="str">
            <v>VAR_fout</v>
          </cell>
          <cell r="C330" t="str">
            <v>AUX_RHES-SHSTG-ELCHP_OUT</v>
          </cell>
          <cell r="D330">
            <v>0.99433413472422993</v>
          </cell>
          <cell r="E330">
            <v>1.5157098897361017</v>
          </cell>
          <cell r="F330">
            <v>2.8875305541790279</v>
          </cell>
          <cell r="G330">
            <v>3.7952833322929433</v>
          </cell>
          <cell r="H330">
            <v>3.7013265816657328</v>
          </cell>
          <cell r="I330">
            <v>4.1178226263359479</v>
          </cell>
          <cell r="J330">
            <v>4.1698807772419242</v>
          </cell>
          <cell r="K330"/>
        </row>
        <row r="331">
          <cell r="A331" t="str">
            <v>RHES-SHSTG-ELCHP</v>
          </cell>
          <cell r="B331" t="str">
            <v>VAR_fin</v>
          </cell>
          <cell r="C331" t="str">
            <v>RHES-SHAELCH</v>
          </cell>
          <cell r="D331">
            <v>0.99334701600864062</v>
          </cell>
          <cell r="E331">
            <v>1.5141986547551953</v>
          </cell>
          <cell r="F331">
            <v>2.8846470928040047</v>
          </cell>
          <cell r="G331">
            <v>3.7914933683630956</v>
          </cell>
          <cell r="H331">
            <v>3.6976306012885174</v>
          </cell>
          <cell r="I331">
            <v>4.1137111431042959</v>
          </cell>
          <cell r="J331">
            <v>4.1657175903112558</v>
          </cell>
        </row>
        <row r="332">
          <cell r="A332" t="str">
            <v>RHES-SHSTG-ELCHP</v>
          </cell>
          <cell r="B332" t="str">
            <v>VAR_ncap</v>
          </cell>
          <cell r="C332" t="str">
            <v>-</v>
          </cell>
          <cell r="D332">
            <v>9.2059197728545594E-2</v>
          </cell>
          <cell r="E332">
            <v>5.4446738036529899E-2</v>
          </cell>
          <cell r="F332">
            <v>0.13223725996578301</v>
          </cell>
          <cell r="G332">
            <v>4.5664289904778103E-2</v>
          </cell>
          <cell r="H332">
            <v>0.12129454474104499</v>
          </cell>
          <cell r="I332">
            <v>0.18875535445622699</v>
          </cell>
          <cell r="J332">
            <v>0.19941232836890099</v>
          </cell>
          <cell r="K332"/>
        </row>
        <row r="333">
          <cell r="A333" t="str">
            <v>RHES-SHSTG-ELCHP</v>
          </cell>
          <cell r="B333" t="str">
            <v>VAR_cap</v>
          </cell>
          <cell r="C333" t="str">
            <v>-</v>
          </cell>
          <cell r="D333">
            <v>9.2059197728545594E-2</v>
          </cell>
          <cell r="E333">
            <v>0.14649999983294271</v>
          </cell>
          <cell r="F333">
            <v>0.27873364663935979</v>
          </cell>
          <cell r="G333">
            <v>0.32439458466246779</v>
          </cell>
          <cell r="H333">
            <v>0.3509375458811877</v>
          </cell>
          <cell r="I333">
            <v>0.36464442935220609</v>
          </cell>
          <cell r="J333">
            <v>0.38769475254624308</v>
          </cell>
          <cell r="K333"/>
        </row>
        <row r="334">
          <cell r="A334" t="str">
            <v>SCOM-SHCONBR6</v>
          </cell>
          <cell r="B334" t="str">
            <v>VAR_fout</v>
          </cell>
          <cell r="C334" t="str">
            <v>SCOM-SHCON</v>
          </cell>
          <cell r="D334"/>
          <cell r="E334"/>
          <cell r="F334"/>
          <cell r="G334"/>
          <cell r="H334">
            <v>6.6807006326361445E-5</v>
          </cell>
          <cell r="I334">
            <v>9.2914077966553554E-5</v>
          </cell>
          <cell r="J334">
            <v>1.3895339207984256E-4</v>
          </cell>
          <cell r="K334"/>
        </row>
        <row r="335">
          <cell r="A335" t="str">
            <v>SCOM-SHCONBR6</v>
          </cell>
          <cell r="B335" t="str">
            <v>VAR_fin</v>
          </cell>
          <cell r="C335" t="str">
            <v>CON</v>
          </cell>
          <cell r="D335"/>
          <cell r="E335"/>
          <cell r="F335"/>
          <cell r="G335"/>
          <cell r="H335">
            <v>6.6807006326361445E-5</v>
          </cell>
          <cell r="I335">
            <v>9.2914077966553554E-5</v>
          </cell>
          <cell r="J335">
            <v>1.3895339207984256E-4</v>
          </cell>
          <cell r="K335"/>
        </row>
        <row r="336">
          <cell r="A336" t="str">
            <v>SCOM-SHCONBR6</v>
          </cell>
          <cell r="B336" t="str">
            <v>VAR_ncap</v>
          </cell>
          <cell r="C336" t="str">
            <v>-</v>
          </cell>
          <cell r="D336"/>
          <cell r="E336"/>
          <cell r="F336"/>
          <cell r="G336"/>
          <cell r="H336">
            <v>8.9849057069700792E-6</v>
          </cell>
          <cell r="I336">
            <v>1.7081886691398501E-7</v>
          </cell>
          <cell r="J336">
            <v>2.4839709277865598E-6</v>
          </cell>
          <cell r="K336"/>
        </row>
        <row r="337">
          <cell r="A337" t="str">
            <v>SCOM-SHCONBR6</v>
          </cell>
          <cell r="B337" t="str">
            <v>VAR_cap</v>
          </cell>
          <cell r="C337" t="str">
            <v>-</v>
          </cell>
          <cell r="D337"/>
          <cell r="F337"/>
          <cell r="G337"/>
          <cell r="H337">
            <v>8.9849057069700792E-6</v>
          </cell>
          <cell r="I337">
            <v>9.1447067691140854E-6</v>
          </cell>
          <cell r="J337">
            <v>1.16396955016706E-5</v>
          </cell>
          <cell r="K337"/>
        </row>
        <row r="338">
          <cell r="A338" t="str">
            <v>RHNM-SHDEM</v>
          </cell>
          <cell r="B338" t="str">
            <v>VAR_fout</v>
          </cell>
          <cell r="C338" t="str">
            <v>RHNM-SHD</v>
          </cell>
          <cell r="D338"/>
          <cell r="E338">
            <v>1.2071502183152301</v>
          </cell>
          <cell r="F338">
            <v>1.5881052270976701</v>
          </cell>
          <cell r="G338">
            <v>3.1102355977699507</v>
          </cell>
          <cell r="H338">
            <v>4.1741239435927699</v>
          </cell>
          <cell r="I338">
            <v>4.9766901649321609</v>
          </cell>
          <cell r="J338">
            <v>6.1406263609159497</v>
          </cell>
          <cell r="K338"/>
        </row>
        <row r="339">
          <cell r="A339" t="str">
            <v>RHNM-SHDEM</v>
          </cell>
          <cell r="B339" t="str">
            <v>VAR_fin</v>
          </cell>
          <cell r="C339" t="str">
            <v>RHNM-SHLFO</v>
          </cell>
          <cell r="D339"/>
          <cell r="E339">
            <v>3.3358042913347888E-2</v>
          </cell>
          <cell r="F339">
            <v>0.10017514877115009</v>
          </cell>
          <cell r="G339">
            <v>0.15311140190988604</v>
          </cell>
          <cell r="H339">
            <v>0.17588738363559581</v>
          </cell>
          <cell r="I339">
            <v>0.17272696086377445</v>
          </cell>
          <cell r="J339">
            <v>2.5071583091822003E-5</v>
          </cell>
        </row>
        <row r="340">
          <cell r="A340" t="str">
            <v>RHNM-SHDEM</v>
          </cell>
          <cell r="B340" t="str">
            <v>VAR_fin</v>
          </cell>
          <cell r="C340" t="str">
            <v>RHNM-SHLTHD</v>
          </cell>
          <cell r="D340"/>
          <cell r="E340">
            <v>0.24040841305744107</v>
          </cell>
          <cell r="F340">
            <v>5.9720186093004307E-2</v>
          </cell>
          <cell r="G340">
            <v>0.1118612997982745</v>
          </cell>
          <cell r="H340">
            <v>0.15025245125470144</v>
          </cell>
          <cell r="I340">
            <v>0.1785964921680217</v>
          </cell>
          <cell r="J340">
            <v>0.22585300747742823</v>
          </cell>
          <cell r="K340"/>
        </row>
        <row r="341">
          <cell r="A341" t="str">
            <v>RHNM-SHDEM</v>
          </cell>
          <cell r="B341" t="str">
            <v>VAR_fin</v>
          </cell>
          <cell r="C341" t="str">
            <v>RHNM-SHCON</v>
          </cell>
          <cell r="D341"/>
          <cell r="F341">
            <v>4.2816016009003711E-4</v>
          </cell>
          <cell r="G341">
            <v>4.1859734224942649E-4</v>
          </cell>
          <cell r="H341">
            <v>5.5763599160472933E-4</v>
          </cell>
          <cell r="I341">
            <v>9.580060797076486E-3</v>
          </cell>
          <cell r="J341">
            <v>0.13187928490607156</v>
          </cell>
          <cell r="K341"/>
        </row>
        <row r="342">
          <cell r="A342" t="str">
            <v>RHNM-SHDEM</v>
          </cell>
          <cell r="B342" t="str">
            <v>VAR_fin</v>
          </cell>
          <cell r="C342" t="str">
            <v>RHNM-SHELCB</v>
          </cell>
          <cell r="D342"/>
          <cell r="E342">
            <v>0.11524790533454743</v>
          </cell>
          <cell r="F342">
            <v>1.359117806915846E-3</v>
          </cell>
          <cell r="G342">
            <v>3.8108747036760637E-3</v>
          </cell>
          <cell r="H342">
            <v>5.1102629272678363E-3</v>
          </cell>
          <cell r="I342">
            <v>5.8867847323352393E-3</v>
          </cell>
          <cell r="J342">
            <v>7.4603150970070555E-3</v>
          </cell>
        </row>
        <row r="343">
          <cell r="A343" t="str">
            <v>RHNM-SHDEM</v>
          </cell>
          <cell r="B343" t="str">
            <v>VAR_fin</v>
          </cell>
          <cell r="C343" t="str">
            <v>RHNM-SHWOD</v>
          </cell>
          <cell r="D343"/>
          <cell r="E343">
            <v>6.9254444632514511E-2</v>
          </cell>
          <cell r="F343">
            <v>9.878591205847892E-2</v>
          </cell>
          <cell r="G343">
            <v>0.15225022164915597</v>
          </cell>
          <cell r="H343">
            <v>0.18593174891063757</v>
          </cell>
          <cell r="I343">
            <v>0.21535900032769681</v>
          </cell>
          <cell r="J343">
            <v>0.25381233266424613</v>
          </cell>
        </row>
        <row r="344">
          <cell r="A344" t="str">
            <v>RHNM-SHDEM</v>
          </cell>
          <cell r="B344" t="str">
            <v>VAR_fin</v>
          </cell>
          <cell r="C344" t="str">
            <v>RHNM-SHELCH</v>
          </cell>
          <cell r="D344"/>
          <cell r="E344">
            <v>3.3428012610297458E-2</v>
          </cell>
          <cell r="F344">
            <v>0.9151744319900712</v>
          </cell>
          <cell r="G344">
            <v>1.6931090936031801</v>
          </cell>
          <cell r="H344">
            <v>2.2428155254622908</v>
          </cell>
          <cell r="I344">
            <v>2.6805663723589506</v>
          </cell>
          <cell r="J344">
            <v>3.3736293719302135</v>
          </cell>
        </row>
        <row r="345">
          <cell r="A345" t="str">
            <v>RHNM-SHDEM</v>
          </cell>
          <cell r="B345" t="str">
            <v>VAR_fin</v>
          </cell>
          <cell r="C345" t="str">
            <v>RHNM-SHNST</v>
          </cell>
          <cell r="D345"/>
          <cell r="E345">
            <v>2.1803369887234778E-2</v>
          </cell>
          <cell r="F345">
            <v>2.7031433511332222E-5</v>
          </cell>
          <cell r="G345">
            <v>2.9255025870725613E-5</v>
          </cell>
          <cell r="H345">
            <v>2.6907045748188571E-5</v>
          </cell>
          <cell r="I345">
            <v>5.5303338595199197E-5</v>
          </cell>
          <cell r="J345">
            <v>2.0626255566492453E-5</v>
          </cell>
          <cell r="K345"/>
        </row>
        <row r="346">
          <cell r="A346" t="str">
            <v>RHNM-SHDEM</v>
          </cell>
          <cell r="B346" t="str">
            <v>VAR_fin</v>
          </cell>
          <cell r="C346" t="str">
            <v>RHNM-SHPLT</v>
          </cell>
          <cell r="D346"/>
          <cell r="E346">
            <v>6.4859840134363828E-2</v>
          </cell>
          <cell r="F346">
            <v>1.919788256823058E-2</v>
          </cell>
          <cell r="G346">
            <v>3.7445701941609455E-2</v>
          </cell>
          <cell r="H346">
            <v>5.2482661561575231E-2</v>
          </cell>
          <cell r="I346">
            <v>6.4647528812837363E-2</v>
          </cell>
          <cell r="J346">
            <v>9.345553286369028E-2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RHNM-SHLTHC-NGA</v>
          </cell>
          <cell r="D347"/>
          <cell r="E347">
            <v>3.3930861460415629E-2</v>
          </cell>
          <cell r="F347">
            <v>3.0126580990950136E-5</v>
          </cell>
          <cell r="G347">
            <v>1.4431537073221899E-5</v>
          </cell>
          <cell r="H347">
            <v>3.4243198662560622E-5</v>
          </cell>
          <cell r="I347">
            <v>2.4231904231141585E-5</v>
          </cell>
          <cell r="J347"/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RHNM-SHSOL</v>
          </cell>
          <cell r="D348"/>
          <cell r="E348">
            <v>4.019289721926525E-2</v>
          </cell>
          <cell r="F348">
            <v>1.2162879460579999E-4</v>
          </cell>
          <cell r="G348">
            <v>1.2643235332236475E-4</v>
          </cell>
          <cell r="H348">
            <v>1.6840847492292967E-4</v>
          </cell>
          <cell r="I348">
            <v>1.5550944286437613E-4</v>
          </cell>
          <cell r="J348">
            <v>2.2624692216632197E-4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RHNM-SHLTHC-WOD</v>
          </cell>
          <cell r="D349"/>
          <cell r="F349">
            <v>1.4194728611230298E-5</v>
          </cell>
          <cell r="G349">
            <v>2.904028683611441E-5</v>
          </cell>
          <cell r="H349">
            <v>3.5478579784058513E-5</v>
          </cell>
          <cell r="I349">
            <v>5.5122117647341999E-6</v>
          </cell>
          <cell r="J349">
            <v>4.0564301958706247E-6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RHNM-SHNGAH</v>
          </cell>
          <cell r="D350"/>
          <cell r="F350">
            <v>0.23070784210275791</v>
          </cell>
          <cell r="G350">
            <v>0.68254571614726067</v>
          </cell>
          <cell r="H350">
            <v>1.0222707811004572</v>
          </cell>
          <cell r="I350">
            <v>1.2820982875153824</v>
          </cell>
          <cell r="J350">
            <v>1.7478583282912403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RHNM-SHNGA</v>
          </cell>
          <cell r="D351"/>
          <cell r="E351">
            <v>0.55471553210739988</v>
          </cell>
          <cell r="F351">
            <v>0.16245016015533797</v>
          </cell>
          <cell r="G351">
            <v>0.27555310275619899</v>
          </cell>
          <cell r="H351">
            <v>0.33862661570893504</v>
          </cell>
          <cell r="I351">
            <v>0.3670507668748344</v>
          </cell>
          <cell r="J351">
            <v>0.30645065137509353</v>
          </cell>
          <cell r="K351"/>
        </row>
        <row r="352">
          <cell r="A352" t="str">
            <v>SCOM-STG-ELCSPEC</v>
          </cell>
          <cell r="B352" t="str">
            <v>VAR_fout</v>
          </cell>
          <cell r="C352" t="str">
            <v>SCOM-ELS</v>
          </cell>
          <cell r="D352"/>
          <cell r="E352">
            <v>4.7168079225641656E-3</v>
          </cell>
          <cell r="F352">
            <v>4.8387932022699648E-3</v>
          </cell>
          <cell r="G352">
            <v>4.9081951645545052E-3</v>
          </cell>
          <cell r="H352">
            <v>5.2725326658444984E-3</v>
          </cell>
          <cell r="I352">
            <v>5.3112780941889344E-3</v>
          </cell>
          <cell r="J352">
            <v>5.3939528111763392E-3</v>
          </cell>
          <cell r="K352"/>
        </row>
        <row r="353">
          <cell r="A353" t="str">
            <v>SCOM-STG-ELCSPEC</v>
          </cell>
          <cell r="B353" t="str">
            <v>VAR_fin</v>
          </cell>
          <cell r="C353" t="str">
            <v>SCOM-ELS</v>
          </cell>
          <cell r="D353"/>
          <cell r="E353">
            <v>4.7172550296197832E-3</v>
          </cell>
          <cell r="F353">
            <v>4.8391448232588648E-3</v>
          </cell>
          <cell r="G353">
            <v>4.908644207138501E-3</v>
          </cell>
          <cell r="H353">
            <v>5.2727481546707309E-3</v>
          </cell>
          <cell r="I353">
            <v>5.3117264915967972E-3</v>
          </cell>
          <cell r="J353">
            <v>5.3941773324683272E-3</v>
          </cell>
          <cell r="K353"/>
        </row>
        <row r="354">
          <cell r="A354" t="str">
            <v>SCOM-STG-ELCSPEC</v>
          </cell>
          <cell r="B354" t="str">
            <v>VAR_ncap</v>
          </cell>
          <cell r="C354" t="str">
            <v>-</v>
          </cell>
          <cell r="D354"/>
          <cell r="E354">
            <v>1.7857037068526099E-4</v>
          </cell>
          <cell r="F354">
            <v>2.4586801336001001E-6</v>
          </cell>
          <cell r="G354">
            <v>9.2469512242693701E-7</v>
          </cell>
          <cell r="H354">
            <v>1.4466488119771201E-5</v>
          </cell>
          <cell r="I354">
            <v>8.6758807483431504E-5</v>
          </cell>
          <cell r="J354">
            <v>9.8457239079405195E-5</v>
          </cell>
          <cell r="K354"/>
        </row>
        <row r="355">
          <cell r="A355" t="str">
            <v>SCOM-STG-ELCSPEC</v>
          </cell>
          <cell r="B355" t="str">
            <v>VAR_cap</v>
          </cell>
          <cell r="C355" t="str">
            <v>-</v>
          </cell>
          <cell r="D355"/>
          <cell r="E355">
            <v>1.7857037068526099E-4</v>
          </cell>
          <cell r="F355">
            <v>1.8095958076414927E-4</v>
          </cell>
          <cell r="G355">
            <v>1.81705596044324E-4</v>
          </cell>
          <cell r="H355">
            <v>1.9579325335891597E-4</v>
          </cell>
          <cell r="I355">
            <v>1.9626491079403912E-4</v>
          </cell>
          <cell r="J355">
            <v>1.9666401894806644E-4</v>
          </cell>
          <cell r="K355"/>
        </row>
        <row r="356">
          <cell r="A356" t="str">
            <v>SCOM-SHCONBR7</v>
          </cell>
          <cell r="B356" t="str">
            <v>VAR_fout</v>
          </cell>
          <cell r="C356" t="str">
            <v>SCOM-SHCON</v>
          </cell>
          <cell r="D356"/>
          <cell r="H356"/>
          <cell r="I356"/>
          <cell r="J356">
            <v>6.138206940318657E-5</v>
          </cell>
          <cell r="K356"/>
        </row>
        <row r="357">
          <cell r="A357" t="str">
            <v>SCOM-SHCONBR7</v>
          </cell>
          <cell r="B357" t="str">
            <v>VAR_fin</v>
          </cell>
          <cell r="C357" t="str">
            <v>CON</v>
          </cell>
          <cell r="D357"/>
          <cell r="G357"/>
          <cell r="H357"/>
          <cell r="I357"/>
          <cell r="J357">
            <v>6.138206940318657E-5</v>
          </cell>
          <cell r="K357"/>
        </row>
        <row r="358">
          <cell r="A358" t="str">
            <v>SCOM-SHCONBR7</v>
          </cell>
          <cell r="B358" t="str">
            <v>VAR_ncap</v>
          </cell>
          <cell r="C358" t="str">
            <v>-</v>
          </cell>
          <cell r="G358"/>
          <cell r="H358"/>
          <cell r="I358"/>
          <cell r="J358">
            <v>5.2132656264577503E-6</v>
          </cell>
          <cell r="K358"/>
        </row>
        <row r="359">
          <cell r="A359" t="str">
            <v>SCOM-SHCONBR7</v>
          </cell>
          <cell r="B359" t="str">
            <v>VAR_cap</v>
          </cell>
          <cell r="C359" t="str">
            <v>-</v>
          </cell>
          <cell r="D359"/>
          <cell r="E359"/>
          <cell r="F359"/>
          <cell r="G359"/>
          <cell r="H359"/>
          <cell r="I359"/>
          <cell r="J359">
            <v>5.2132656264577503E-6</v>
          </cell>
          <cell r="K359"/>
        </row>
        <row r="360">
          <cell r="A360" t="str">
            <v>SCOM-SHCONBR8</v>
          </cell>
          <cell r="B360" t="str">
            <v>VAR_fout</v>
          </cell>
          <cell r="C360" t="str">
            <v>SCOM-SHCON</v>
          </cell>
          <cell r="D360"/>
          <cell r="G360"/>
          <cell r="H360"/>
          <cell r="I360"/>
          <cell r="J360">
            <v>1.6054953712549868E-5</v>
          </cell>
          <cell r="K360"/>
        </row>
        <row r="361">
          <cell r="A361" t="str">
            <v>SCOM-SHCONBR8</v>
          </cell>
          <cell r="B361" t="str">
            <v>VAR_fin</v>
          </cell>
          <cell r="C361" t="str">
            <v>CON</v>
          </cell>
          <cell r="D361"/>
          <cell r="G361"/>
          <cell r="H361"/>
          <cell r="I361"/>
          <cell r="J361">
            <v>1.6054953712549868E-5</v>
          </cell>
          <cell r="K361"/>
        </row>
        <row r="362">
          <cell r="A362" t="str">
            <v>SCOM-SHCONBR8</v>
          </cell>
          <cell r="B362" t="str">
            <v>VAR_ncap</v>
          </cell>
          <cell r="C362" t="str">
            <v>-</v>
          </cell>
          <cell r="D362"/>
          <cell r="G362"/>
          <cell r="H362"/>
          <cell r="I362"/>
          <cell r="J362">
            <v>1.13693886604292E-6</v>
          </cell>
          <cell r="K362"/>
        </row>
        <row r="363">
          <cell r="A363" t="str">
            <v>SCOM-SHCONBR8</v>
          </cell>
          <cell r="B363" t="str">
            <v>VAR_cap</v>
          </cell>
          <cell r="C363" t="str">
            <v>-</v>
          </cell>
          <cell r="D363"/>
          <cell r="G363"/>
          <cell r="H363"/>
          <cell r="I363"/>
          <cell r="J363">
            <v>1.13693886604292E-6</v>
          </cell>
          <cell r="K363"/>
        </row>
        <row r="364">
          <cell r="A364" t="str">
            <v>ITOT-ELCSPEC</v>
          </cell>
          <cell r="B364" t="str">
            <v>VAR_fout</v>
          </cell>
          <cell r="C364" t="str">
            <v>ITOT-ELS</v>
          </cell>
          <cell r="D364">
            <v>48.063397652170998</v>
          </cell>
          <cell r="E364">
            <v>48.875582755450495</v>
          </cell>
          <cell r="F364">
            <v>51.648555125188956</v>
          </cell>
          <cell r="G364">
            <v>53.056611454189451</v>
          </cell>
          <cell r="H364">
            <v>53.574070322293707</v>
          </cell>
          <cell r="I364">
            <v>52.84371360944715</v>
          </cell>
          <cell r="J364">
            <v>53.841283493235146</v>
          </cell>
        </row>
        <row r="365">
          <cell r="A365" t="str">
            <v>ITOT-ELCSPEC</v>
          </cell>
          <cell r="B365" t="str">
            <v>VAR_fin</v>
          </cell>
          <cell r="C365" t="str">
            <v>ITOT_ELC</v>
          </cell>
          <cell r="D365">
            <v>48.063397652170998</v>
          </cell>
          <cell r="E365">
            <v>48.875582755450495</v>
          </cell>
          <cell r="F365">
            <v>51.648555125188956</v>
          </cell>
          <cell r="G365">
            <v>53.056611454189451</v>
          </cell>
          <cell r="H365">
            <v>53.574070322293707</v>
          </cell>
          <cell r="I365">
            <v>52.84371360944715</v>
          </cell>
          <cell r="J365">
            <v>53.841283493235146</v>
          </cell>
        </row>
        <row r="366">
          <cell r="A366" t="str">
            <v>ITOT-ELCSPEC</v>
          </cell>
          <cell r="B366" t="str">
            <v>VAR_ncap</v>
          </cell>
          <cell r="C366" t="str">
            <v>-</v>
          </cell>
          <cell r="D366">
            <v>8.3497468225473798E-2</v>
          </cell>
          <cell r="E366">
            <v>4.4168729292603702E-2</v>
          </cell>
          <cell r="F366">
            <v>0.15080233335905299</v>
          </cell>
          <cell r="G366">
            <v>7.6574353871725898E-2</v>
          </cell>
          <cell r="H366">
            <v>2.8141929559269099E-2</v>
          </cell>
          <cell r="I366">
            <v>6.6240351117609596E-7</v>
          </cell>
          <cell r="J366">
            <v>2.5497208891435701</v>
          </cell>
          <cell r="K366"/>
        </row>
        <row r="367">
          <cell r="A367" t="str">
            <v>ITOT-ELCSPEC</v>
          </cell>
          <cell r="B367" t="str">
            <v>VAR_cap</v>
          </cell>
          <cell r="C367" t="str">
            <v>-</v>
          </cell>
          <cell r="D367">
            <v>2.613824700258184</v>
          </cell>
          <cell r="E367">
            <v>2.6579933027966942</v>
          </cell>
          <cell r="F367">
            <v>2.8087953805682533</v>
          </cell>
          <cell r="G367">
            <v>2.8853693482439113</v>
          </cell>
          <cell r="H367">
            <v>2.9135103113839742</v>
          </cell>
          <cell r="I367">
            <v>2.8737920085568063</v>
          </cell>
          <cell r="J367">
            <v>2.9280419482929694</v>
          </cell>
          <cell r="K367"/>
        </row>
        <row r="368">
          <cell r="A368" t="str">
            <v>RHNM-SHLTHDH</v>
          </cell>
          <cell r="B368" t="str">
            <v>VAR_fout</v>
          </cell>
          <cell r="C368" t="str">
            <v>RHNM-SHLTHD</v>
          </cell>
          <cell r="D368"/>
          <cell r="E368">
            <v>0.34659752272142735</v>
          </cell>
          <cell r="F368">
            <v>5.9810397743093838E-2</v>
          </cell>
          <cell r="G368">
            <v>0.11194973511475059</v>
          </cell>
          <cell r="H368">
            <v>0.15036438271654981</v>
          </cell>
          <cell r="I368">
            <v>0.17869310870443794</v>
          </cell>
          <cell r="J368">
            <v>0.22591169627164798</v>
          </cell>
        </row>
        <row r="369">
          <cell r="A369" t="str">
            <v>RHNM-SHLTHDH</v>
          </cell>
          <cell r="B369" t="str">
            <v>VAR_fin</v>
          </cell>
          <cell r="C369" t="str">
            <v>RHNMLTHDHC</v>
          </cell>
          <cell r="E369">
            <v>0.34659752272142735</v>
          </cell>
          <cell r="F369">
            <v>5.9810397743093838E-2</v>
          </cell>
          <cell r="G369">
            <v>0.11194973511475059</v>
          </cell>
          <cell r="H369">
            <v>0.15036438271654981</v>
          </cell>
          <cell r="I369">
            <v>0.17869310870443794</v>
          </cell>
          <cell r="J369">
            <v>0.22591169627164798</v>
          </cell>
          <cell r="K369"/>
        </row>
        <row r="370">
          <cell r="A370" t="str">
            <v>RHNM-SHLTHDH</v>
          </cell>
          <cell r="B370" t="str">
            <v>VAR_fin</v>
          </cell>
          <cell r="C370" t="str">
            <v>RHNM_LTH_DH</v>
          </cell>
          <cell r="E370">
            <v>0.35009850779942164</v>
          </cell>
          <cell r="F370">
            <v>6.6180697507705305E-2</v>
          </cell>
          <cell r="G370">
            <v>0.12353563890355469</v>
          </cell>
          <cell r="H370">
            <v>0.16560937014621432</v>
          </cell>
          <cell r="I370">
            <v>0.19653607561390915</v>
          </cell>
          <cell r="J370">
            <v>0.24846956070336904</v>
          </cell>
          <cell r="K370"/>
        </row>
        <row r="371">
          <cell r="A371" t="str">
            <v>RHNM-SHLTHDH</v>
          </cell>
          <cell r="B371" t="str">
            <v>VAR_ncap</v>
          </cell>
          <cell r="C371" t="str">
            <v>-</v>
          </cell>
          <cell r="E371">
            <v>3.2046888704490302E-2</v>
          </cell>
          <cell r="F371">
            <v>6.2792098301650704E-3</v>
          </cell>
          <cell r="G371">
            <v>1.5243659008854001E-2</v>
          </cell>
          <cell r="H371">
            <v>3.1094903318904001E-2</v>
          </cell>
          <cell r="I371">
            <v>1.2440649725832901E-2</v>
          </cell>
          <cell r="J371">
            <v>1.7612635339268399E-3</v>
          </cell>
          <cell r="K371"/>
        </row>
        <row r="372">
          <cell r="A372" t="str">
            <v>RHNM-SHLTHDH</v>
          </cell>
          <cell r="B372" t="str">
            <v>VAR_cap</v>
          </cell>
          <cell r="C372" t="str">
            <v>-</v>
          </cell>
          <cell r="E372">
            <v>3.2046888704490302E-2</v>
          </cell>
          <cell r="F372">
            <v>1.3597609382100299E-2</v>
          </cell>
          <cell r="G372">
            <v>2.52781340867058E-2</v>
          </cell>
          <cell r="H372">
            <v>5.2529885883964192E-2</v>
          </cell>
          <cell r="I372">
            <v>5.6760853892560699E-2</v>
          </cell>
          <cell r="J372">
            <v>2.12342859342846E-2</v>
          </cell>
          <cell r="K372"/>
        </row>
        <row r="373">
          <cell r="A373" t="str">
            <v>SCOM-SHCONBR9</v>
          </cell>
          <cell r="B373" t="str">
            <v>VAR_fout</v>
          </cell>
          <cell r="C373" t="str">
            <v>SCOM-SHCON</v>
          </cell>
          <cell r="D373"/>
          <cell r="G373"/>
          <cell r="H373"/>
          <cell r="I373"/>
          <cell r="J373">
            <v>4.6968111805885701E-6</v>
          </cell>
        </row>
        <row r="374">
          <cell r="A374" t="str">
            <v>SCOM-SHCONBR9</v>
          </cell>
          <cell r="B374" t="str">
            <v>VAR_fin</v>
          </cell>
          <cell r="C374" t="str">
            <v>CON</v>
          </cell>
          <cell r="G374"/>
          <cell r="H374"/>
          <cell r="I374"/>
          <cell r="J374">
            <v>4.6968111805885701E-6</v>
          </cell>
          <cell r="K374"/>
        </row>
        <row r="375">
          <cell r="A375" t="str">
            <v>SCOM-SHCONBR9</v>
          </cell>
          <cell r="B375" t="str">
            <v>VAR_ncap</v>
          </cell>
          <cell r="C375" t="str">
            <v>-</v>
          </cell>
          <cell r="G375"/>
          <cell r="H375"/>
          <cell r="I375"/>
          <cell r="J375">
            <v>1.86096872577793E-7</v>
          </cell>
          <cell r="K375"/>
        </row>
        <row r="376">
          <cell r="A376" t="str">
            <v>SCOM-SHCONBR9</v>
          </cell>
          <cell r="B376" t="str">
            <v>VAR_cap</v>
          </cell>
          <cell r="C376" t="str">
            <v>-</v>
          </cell>
          <cell r="G376"/>
          <cell r="H376"/>
          <cell r="I376"/>
          <cell r="J376">
            <v>1.86096872577793E-7</v>
          </cell>
          <cell r="K376"/>
        </row>
        <row r="377">
          <cell r="A377" t="str">
            <v>ITOT-SWHCOABR</v>
          </cell>
          <cell r="B377" t="str">
            <v>VAR_fout</v>
          </cell>
          <cell r="C377" t="str">
            <v>ITOT-SWH</v>
          </cell>
          <cell r="D377">
            <v>2.3674029661637963</v>
          </cell>
          <cell r="E377">
            <v>2.3075017986913506</v>
          </cell>
          <cell r="F377">
            <v>2.2296681047849765</v>
          </cell>
          <cell r="G377">
            <v>1.5871427390931096E-4</v>
          </cell>
          <cell r="H377">
            <v>2.5802494449213032E-4</v>
          </cell>
          <cell r="I377">
            <v>1.4636401201084396E-4</v>
          </cell>
          <cell r="J377">
            <v>7.625684991250818E-5</v>
          </cell>
          <cell r="K377"/>
        </row>
        <row r="378">
          <cell r="A378" t="str">
            <v>ITOT-SWHCOABR</v>
          </cell>
          <cell r="B378" t="str">
            <v>VAR_fout</v>
          </cell>
          <cell r="C378" t="str">
            <v>CO2_I</v>
          </cell>
          <cell r="D378">
            <v>330.012413478773</v>
          </cell>
          <cell r="E378">
            <v>321.17930441244499</v>
          </cell>
          <cell r="F378">
            <v>309.64828960834097</v>
          </cell>
          <cell r="G378">
            <v>2.1959422673721099E-2</v>
          </cell>
          <cell r="H378">
            <v>3.5567155917353897E-2</v>
          </cell>
          <cell r="I378">
            <v>2.0100657649489199E-2</v>
          </cell>
          <cell r="J378">
            <v>1.0395602921896299E-2</v>
          </cell>
          <cell r="K378"/>
        </row>
        <row r="379">
          <cell r="A379" t="str">
            <v>ITOT-SWHCOABR</v>
          </cell>
          <cell r="B379" t="str">
            <v>VAR_fin</v>
          </cell>
          <cell r="C379" t="str">
            <v>ICOA</v>
          </cell>
          <cell r="D379">
            <v>3.5600044603966894</v>
          </cell>
          <cell r="E379">
            <v>3.464717415452482</v>
          </cell>
          <cell r="F379">
            <v>3.3403267487415373</v>
          </cell>
          <cell r="G379">
            <v>2.3688697598404625E-4</v>
          </cell>
          <cell r="H379">
            <v>3.8368021485818611E-4</v>
          </cell>
          <cell r="I379">
            <v>2.1683557334939852E-4</v>
          </cell>
          <cell r="J379">
            <v>1.1214242634192372E-4</v>
          </cell>
          <cell r="K379"/>
        </row>
        <row r="380">
          <cell r="A380" t="str">
            <v>ITOT-SWHCOABR</v>
          </cell>
          <cell r="B380" t="str">
            <v>VAR_ncap</v>
          </cell>
          <cell r="C380" t="str">
            <v>-</v>
          </cell>
          <cell r="E380">
            <v>1.28427925826466E-6</v>
          </cell>
          <cell r="F380">
            <v>2.1003464287539401E-6</v>
          </cell>
          <cell r="G380">
            <v>2.9477176077407199E-6</v>
          </cell>
          <cell r="H380">
            <v>1.8358652622297799E-5</v>
          </cell>
          <cell r="I380">
            <v>1.9178310936212501E-6</v>
          </cell>
          <cell r="J380">
            <v>2.4385994981125998E-6</v>
          </cell>
          <cell r="K380"/>
        </row>
        <row r="381">
          <cell r="A381" t="str">
            <v>ITOT-SWHCOABR</v>
          </cell>
          <cell r="B381" t="str">
            <v>VAR_cap</v>
          </cell>
          <cell r="C381" t="str">
            <v>-</v>
          </cell>
          <cell r="D381">
            <v>0.26172155007150499</v>
          </cell>
          <cell r="E381">
            <v>0.20944603034844286</v>
          </cell>
          <cell r="F381">
            <v>0.2093658534928686</v>
          </cell>
          <cell r="G381">
            <v>1.5132060937783631E-5</v>
          </cell>
          <cell r="H381">
            <v>2.4267925498144827E-5</v>
          </cell>
          <cell r="I381">
            <v>1.387458429668809E-5</v>
          </cell>
          <cell r="J381">
            <v>7.2607540919944595E-6</v>
          </cell>
          <cell r="K381"/>
        </row>
        <row r="382">
          <cell r="A382" t="str">
            <v>RHSA-WHDEM</v>
          </cell>
          <cell r="B382" t="str">
            <v>VAR_fout</v>
          </cell>
          <cell r="C382" t="str">
            <v>RHSA-WHD</v>
          </cell>
          <cell r="D382">
            <v>26.438654975424289</v>
          </cell>
          <cell r="E382">
            <v>25.92879146371218</v>
          </cell>
          <cell r="F382">
            <v>21.653190399076024</v>
          </cell>
          <cell r="G382">
            <v>22.580839867458707</v>
          </cell>
          <cell r="H382">
            <v>23.857724991727501</v>
          </cell>
          <cell r="I382">
            <v>25.582305742240475</v>
          </cell>
          <cell r="J382">
            <v>29.056866756501503</v>
          </cell>
          <cell r="K382"/>
        </row>
        <row r="383">
          <cell r="A383" t="str">
            <v>RHSA-WHDEM</v>
          </cell>
          <cell r="B383" t="str">
            <v>VAR_fin</v>
          </cell>
          <cell r="C383" t="str">
            <v>RHSA-WHNGA</v>
          </cell>
          <cell r="D383">
            <v>6.2057484631313242</v>
          </cell>
          <cell r="E383">
            <v>5.1511654040749235</v>
          </cell>
          <cell r="F383">
            <v>5.4192368440334624</v>
          </cell>
          <cell r="G383">
            <v>4.4448831274060296</v>
          </cell>
          <cell r="H383">
            <v>3.6415107156174473</v>
          </cell>
          <cell r="I383">
            <v>3.0410868912793707</v>
          </cell>
          <cell r="J383">
            <v>1.9312558748508095</v>
          </cell>
          <cell r="K383"/>
        </row>
        <row r="384">
          <cell r="A384" t="str">
            <v>RHSA-WHDEM</v>
          </cell>
          <cell r="B384" t="str">
            <v>VAR_fin</v>
          </cell>
          <cell r="C384" t="str">
            <v>RHSA-WHLFO</v>
          </cell>
          <cell r="D384">
            <v>6.8063660222837097</v>
          </cell>
          <cell r="E384">
            <v>5.9321120764187691</v>
          </cell>
          <cell r="F384">
            <v>4.6761420313162878</v>
          </cell>
          <cell r="G384">
            <v>3.101796525983985</v>
          </cell>
          <cell r="H384">
            <v>2.2348978956483023</v>
          </cell>
          <cell r="I384">
            <v>1.7873456806090926</v>
          </cell>
          <cell r="J384">
            <v>0.82112574410063421</v>
          </cell>
          <cell r="K384"/>
        </row>
        <row r="385">
          <cell r="A385" t="str">
            <v>RHSA-WHDEM</v>
          </cell>
          <cell r="B385" t="str">
            <v>VAR_fin</v>
          </cell>
          <cell r="C385" t="str">
            <v>RHSA-WHWOD</v>
          </cell>
          <cell r="D385">
            <v>0.5625857521949349</v>
          </cell>
          <cell r="E385">
            <v>0.59705753654251303</v>
          </cell>
          <cell r="F385">
            <v>1.158086459698253</v>
          </cell>
          <cell r="G385">
            <v>1.2375057774560865</v>
          </cell>
          <cell r="H385">
            <v>1.237565033244187</v>
          </cell>
          <cell r="I385">
            <v>1.2541100051954424</v>
          </cell>
          <cell r="J385">
            <v>1.2243544893372278</v>
          </cell>
          <cell r="K385"/>
        </row>
        <row r="386">
          <cell r="A386" t="str">
            <v>RHSA-WHDEM</v>
          </cell>
          <cell r="B386" t="str">
            <v>VAR_fin</v>
          </cell>
          <cell r="C386" t="str">
            <v>RHSA-WHNGAH</v>
          </cell>
          <cell r="D386">
            <v>5.7720900826393425E-2</v>
          </cell>
          <cell r="F386">
            <v>0.89797472984183058</v>
          </cell>
          <cell r="G386">
            <v>2.1916973640799711</v>
          </cell>
          <cell r="H386">
            <v>3.268610565069701</v>
          </cell>
          <cell r="I386">
            <v>4.196455938164446</v>
          </cell>
          <cell r="J386">
            <v>6.0930675829808827</v>
          </cell>
        </row>
        <row r="387">
          <cell r="A387" t="str">
            <v>RHSA-WHDEM</v>
          </cell>
          <cell r="B387" t="str">
            <v>VAR_fin</v>
          </cell>
          <cell r="C387" t="str">
            <v>RHSA-WHNST</v>
          </cell>
          <cell r="D387">
            <v>4.1739426436712641E-2</v>
          </cell>
          <cell r="E387">
            <v>2.9917851188238293E-4</v>
          </cell>
          <cell r="H387"/>
          <cell r="I387"/>
          <cell r="J387"/>
        </row>
        <row r="388">
          <cell r="A388" t="str">
            <v>RHSA-WHDEM</v>
          </cell>
          <cell r="B388" t="str">
            <v>VAR_fin</v>
          </cell>
          <cell r="C388" t="str">
            <v>RHSA-WHPLT</v>
          </cell>
          <cell r="D388">
            <v>0.27989646192499174</v>
          </cell>
          <cell r="E388">
            <v>0.19466089488324442</v>
          </cell>
          <cell r="F388">
            <v>8.2933791115768846E-2</v>
          </cell>
          <cell r="G388">
            <v>0.13925351290101814</v>
          </cell>
          <cell r="H388">
            <v>0.18272631620015248</v>
          </cell>
          <cell r="I388">
            <v>0.22309993813395027</v>
          </cell>
          <cell r="J388">
            <v>0.30616301837917914</v>
          </cell>
        </row>
        <row r="389">
          <cell r="A389" t="str">
            <v>RHSA-WHDEM</v>
          </cell>
          <cell r="B389" t="str">
            <v>VAR_fin</v>
          </cell>
          <cell r="C389" t="str">
            <v>RHSA-WHLTHRD</v>
          </cell>
          <cell r="D389">
            <v>1.2833672900390956</v>
          </cell>
          <cell r="E389">
            <v>1.4631892158758479</v>
          </cell>
          <cell r="F389">
            <v>0.95324930876654346</v>
          </cell>
          <cell r="G389">
            <v>1.1752091882881543</v>
          </cell>
          <cell r="H389">
            <v>1.3268401251312527</v>
          </cell>
          <cell r="I389">
            <v>1.4469611015491701</v>
          </cell>
          <cell r="J389">
            <v>1.6804156212308474</v>
          </cell>
          <cell r="K389"/>
        </row>
        <row r="390">
          <cell r="A390" t="str">
            <v>RHSA-WHDEM</v>
          </cell>
          <cell r="B390" t="str">
            <v>VAR_fin</v>
          </cell>
          <cell r="C390" t="str">
            <v>RHSA-WHELCB</v>
          </cell>
          <cell r="D390">
            <v>6.4623978029617799</v>
          </cell>
          <cell r="E390">
            <v>6.9685208478820115</v>
          </cell>
          <cell r="F390">
            <v>2.8217510647324193</v>
          </cell>
          <cell r="G390">
            <v>2.2283610178995272</v>
          </cell>
          <cell r="H390">
            <v>1.9605192493490169</v>
          </cell>
          <cell r="I390">
            <v>1.8871446320021665</v>
          </cell>
          <cell r="J390">
            <v>1.6960940465573222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RHSA-WHSOL</v>
          </cell>
          <cell r="D391">
            <v>1.6202274973120872</v>
          </cell>
          <cell r="E391">
            <v>1.9865558378401924</v>
          </cell>
          <cell r="F391">
            <v>0.90454110340798788</v>
          </cell>
          <cell r="G391">
            <v>1.0742150973181521</v>
          </cell>
          <cell r="H391">
            <v>1.1916268531021146</v>
          </cell>
          <cell r="I391">
            <v>1.2853361647462673</v>
          </cell>
          <cell r="J391">
            <v>1.4830694812330973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RHSA-WHELCH</v>
          </cell>
          <cell r="D392">
            <v>3.118637168838176</v>
          </cell>
          <cell r="E392">
            <v>3.6352688028147551</v>
          </cell>
          <cell r="F392">
            <v>4.739317237500404</v>
          </cell>
          <cell r="G392">
            <v>6.9879589816688945</v>
          </cell>
          <cell r="H392">
            <v>8.8134621338912904</v>
          </cell>
          <cell r="I392">
            <v>10.460795440029692</v>
          </cell>
          <cell r="J392">
            <v>13.821349565382228</v>
          </cell>
          <cell r="K392"/>
        </row>
        <row r="393">
          <cell r="A393" t="str">
            <v>RHSA-WHNGAHP</v>
          </cell>
          <cell r="B393" t="str">
            <v>VAR_fout</v>
          </cell>
          <cell r="C393" t="str">
            <v>RHSA-WHANGAH</v>
          </cell>
          <cell r="D393"/>
          <cell r="F393">
            <v>0.89797703290975706</v>
          </cell>
          <cell r="G393">
            <v>2.1916984958123678</v>
          </cell>
          <cell r="H393">
            <v>3.2686107737627141</v>
          </cell>
          <cell r="I393">
            <v>4.1964548214299029</v>
          </cell>
          <cell r="J393">
            <v>6.0930679420205269</v>
          </cell>
          <cell r="K393"/>
        </row>
        <row r="394">
          <cell r="A394" t="str">
            <v>RHSA-WHNGAHP</v>
          </cell>
          <cell r="B394" t="str">
            <v>VAR_fout</v>
          </cell>
          <cell r="C394" t="str">
            <v>CO2_R</v>
          </cell>
          <cell r="F394">
            <v>25.2881115177378</v>
          </cell>
          <cell r="G394">
            <v>57.027037713197601</v>
          </cell>
          <cell r="H394">
            <v>81.184631432466503</v>
          </cell>
          <cell r="I394">
            <v>100.612087264669</v>
          </cell>
          <cell r="J394">
            <v>135.90305009961099</v>
          </cell>
          <cell r="K394"/>
        </row>
        <row r="395">
          <cell r="A395" t="str">
            <v>RHSA-WHNGAHP</v>
          </cell>
          <cell r="B395" t="str">
            <v>VAR_fin</v>
          </cell>
          <cell r="C395" t="str">
            <v>RNGA</v>
          </cell>
          <cell r="F395">
            <v>0.44837077159109606</v>
          </cell>
          <cell r="G395">
            <v>1.0111176899503123</v>
          </cell>
          <cell r="H395">
            <v>1.4394438197245831</v>
          </cell>
          <cell r="I395">
            <v>1.7839022564657643</v>
          </cell>
          <cell r="J395">
            <v>2.4096285478654367</v>
          </cell>
          <cell r="K395"/>
        </row>
        <row r="396">
          <cell r="A396" t="str">
            <v>RHSA-WHNGAHP</v>
          </cell>
          <cell r="B396" t="str">
            <v>VAR_ncap</v>
          </cell>
          <cell r="C396" t="str">
            <v>-</v>
          </cell>
          <cell r="D396"/>
          <cell r="E396">
            <v>7.1758740030170305E-8</v>
          </cell>
          <cell r="F396">
            <v>5.9459485197444303E-2</v>
          </cell>
          <cell r="G396">
            <v>8.5647429116589596E-2</v>
          </cell>
          <cell r="H396">
            <v>7.8304348511828395E-2</v>
          </cell>
          <cell r="I396">
            <v>0.139496603682668</v>
          </cell>
          <cell r="J396">
            <v>0.28210041787523799</v>
          </cell>
          <cell r="K396"/>
        </row>
        <row r="397">
          <cell r="A397" t="str">
            <v>RHSA-WHNGAHP</v>
          </cell>
          <cell r="B397" t="str">
            <v>VAR_cap</v>
          </cell>
          <cell r="C397" t="str">
            <v>-</v>
          </cell>
          <cell r="D397">
            <v>4.7729432218241499E-11</v>
          </cell>
          <cell r="E397">
            <v>-2.437242041447935E-8</v>
          </cell>
          <cell r="F397">
            <v>5.945947497679778E-2</v>
          </cell>
          <cell r="G397">
            <v>0.14510692039283529</v>
          </cell>
          <cell r="H397">
            <v>0.22341114905172779</v>
          </cell>
          <cell r="I397">
            <v>0.28682844844998878</v>
          </cell>
          <cell r="J397">
            <v>0.41646006011236408</v>
          </cell>
        </row>
        <row r="398">
          <cell r="A398" t="str">
            <v>SCOM-SHSTG-ELCHP</v>
          </cell>
          <cell r="B398" t="str">
            <v>VAR_fout</v>
          </cell>
          <cell r="C398" t="str">
            <v>SCOM-SHAELCH</v>
          </cell>
          <cell r="D398">
            <v>9.4359367956293204E-6</v>
          </cell>
          <cell r="E398">
            <v>8.6102715456845339E-6</v>
          </cell>
          <cell r="F398">
            <v>1.6638129290130253E-5</v>
          </cell>
          <cell r="G398">
            <v>7.3222692052051744E-6</v>
          </cell>
          <cell r="H398">
            <v>6.7359279736988605E-6</v>
          </cell>
          <cell r="I398">
            <v>6.5307149452103144E-6</v>
          </cell>
          <cell r="J398">
            <v>1.0114562527006181E-6</v>
          </cell>
        </row>
        <row r="399">
          <cell r="A399" t="str">
            <v>SCOM-SHSTG-ELCHP</v>
          </cell>
          <cell r="B399" t="str">
            <v>VAR_fin</v>
          </cell>
          <cell r="C399" t="str">
            <v>SCOM-SHAELCH</v>
          </cell>
          <cell r="D399">
            <v>1.1810180825713922E-5</v>
          </cell>
          <cell r="E399">
            <v>8.3152803424476958E-6</v>
          </cell>
          <cell r="F399">
            <v>1.9877656278736965E-5</v>
          </cell>
          <cell r="G399">
            <v>8.6517148034448119E-6</v>
          </cell>
          <cell r="H399">
            <v>7.4781031967891583E-6</v>
          </cell>
          <cell r="I399">
            <v>7.450973404337889E-6</v>
          </cell>
          <cell r="J399"/>
        </row>
        <row r="400">
          <cell r="A400" t="str">
            <v>SCOM-SHSTG-ELCHP</v>
          </cell>
          <cell r="B400" t="str">
            <v>VAR_ncap</v>
          </cell>
          <cell r="C400" t="str">
            <v>-</v>
          </cell>
          <cell r="D400">
            <v>4.0047435013240602E-3</v>
          </cell>
          <cell r="E400">
            <v>9.7325383364201795E-2</v>
          </cell>
          <cell r="F400">
            <v>1.4999155092747699E-5</v>
          </cell>
          <cell r="G400">
            <v>3.5310990585930298E-2</v>
          </cell>
          <cell r="H400">
            <v>8.99056971610247E-2</v>
          </cell>
          <cell r="I400">
            <v>9.8913192667481206E-2</v>
          </cell>
          <cell r="J400">
            <v>0.179547162849854</v>
          </cell>
        </row>
        <row r="401">
          <cell r="A401" t="str">
            <v>SCOM-SHSTG-ELCHP</v>
          </cell>
          <cell r="B401" t="str">
            <v>VAR_cap</v>
          </cell>
          <cell r="C401" t="str">
            <v>-</v>
          </cell>
          <cell r="D401">
            <v>4.0047435013240602E-3</v>
          </cell>
          <cell r="E401">
            <v>0.10132179796971463</v>
          </cell>
          <cell r="F401">
            <v>0.1013218208911411</v>
          </cell>
          <cell r="G401">
            <v>0.13662677549651817</v>
          </cell>
          <cell r="H401">
            <v>0.17608790484124537</v>
          </cell>
          <cell r="I401">
            <v>0.21291986197001164</v>
          </cell>
          <cell r="J401">
            <v>0.28934373454384477</v>
          </cell>
          <cell r="K401"/>
        </row>
        <row r="402">
          <cell r="A402" t="str">
            <v>RHEM-SHLFOBR</v>
          </cell>
          <cell r="B402" t="str">
            <v>VAR_fout</v>
          </cell>
          <cell r="C402" t="str">
            <v>CO2_R</v>
          </cell>
          <cell r="D402">
            <v>1928.7106558722201</v>
          </cell>
          <cell r="E402">
            <v>1529.47384025512</v>
          </cell>
          <cell r="F402">
            <v>1794.75051452002</v>
          </cell>
          <cell r="G402">
            <v>1192.29520926604</v>
          </cell>
          <cell r="H402">
            <v>873.80737761136299</v>
          </cell>
          <cell r="I402">
            <v>661.727637661259</v>
          </cell>
          <cell r="J402">
            <v>221.322488340436</v>
          </cell>
          <cell r="K402"/>
        </row>
        <row r="403">
          <cell r="A403" t="str">
            <v>RHEM-SHLFOBR</v>
          </cell>
          <cell r="B403" t="str">
            <v>VAR_fout</v>
          </cell>
          <cell r="C403" t="str">
            <v>RHEM-SHLFO</v>
          </cell>
          <cell r="D403">
            <v>23.443735358012667</v>
          </cell>
          <cell r="E403">
            <v>18.590958596497693</v>
          </cell>
          <cell r="F403">
            <v>20.885903430226314</v>
          </cell>
          <cell r="G403">
            <v>14.131380235264475</v>
          </cell>
          <cell r="H403">
            <v>10.465420274330528</v>
          </cell>
          <cell r="I403">
            <v>7.9513624391630282</v>
          </cell>
          <cell r="J403">
            <v>2.6681295550724977</v>
          </cell>
          <cell r="K403"/>
        </row>
        <row r="404">
          <cell r="A404" t="str">
            <v>RHEM-SHLFOBR</v>
          </cell>
          <cell r="B404" t="str">
            <v>VAR_fin</v>
          </cell>
          <cell r="C404" t="str">
            <v>RLFO</v>
          </cell>
          <cell r="D404">
            <v>26.169751097316443</v>
          </cell>
          <cell r="E404">
            <v>20.75269796818348</v>
          </cell>
          <cell r="F404">
            <v>24.352110102035461</v>
          </cell>
          <cell r="G404">
            <v>16.177682622334398</v>
          </cell>
          <cell r="H404">
            <v>11.856273780344146</v>
          </cell>
          <cell r="I404">
            <v>8.9786653685381097</v>
          </cell>
          <cell r="J404">
            <v>3.0030188377263962</v>
          </cell>
          <cell r="K404"/>
        </row>
        <row r="405">
          <cell r="A405" t="str">
            <v>RHEM-SHLFOBR</v>
          </cell>
          <cell r="B405" t="str">
            <v>VAR_ncap</v>
          </cell>
          <cell r="C405" t="str">
            <v>-</v>
          </cell>
          <cell r="E405">
            <v>3.3916604540580098E-8</v>
          </cell>
          <cell r="F405">
            <v>3.9259119082180701E-8</v>
          </cell>
          <cell r="G405">
            <v>6.8572798957143296E-8</v>
          </cell>
          <cell r="H405">
            <v>0.30965676140018999</v>
          </cell>
          <cell r="I405">
            <v>0.25182485671719002</v>
          </cell>
          <cell r="J405">
            <v>3.99323670197008E-8</v>
          </cell>
          <cell r="K405"/>
        </row>
        <row r="406">
          <cell r="A406" t="str">
            <v>RHEM-SHLFOBR</v>
          </cell>
          <cell r="B406" t="str">
            <v>VAR_cap</v>
          </cell>
          <cell r="C406" t="str">
            <v>-</v>
          </cell>
          <cell r="D406">
            <v>1.65587464377338</v>
          </cell>
          <cell r="E406">
            <v>1.6558683852271503</v>
          </cell>
          <cell r="F406">
            <v>1.6558652917522045</v>
          </cell>
          <cell r="G406">
            <v>1.655863080012185</v>
          </cell>
          <cell r="H406">
            <v>0.73907870579479673</v>
          </cell>
          <cell r="I406">
            <v>0.56148157829580914</v>
          </cell>
          <cell r="J406">
            <v>0.3033005571090141</v>
          </cell>
          <cell r="K406"/>
        </row>
        <row r="407">
          <cell r="A407" t="str">
            <v>RHES-SHNGAHP</v>
          </cell>
          <cell r="B407" t="str">
            <v>VAR_fout</v>
          </cell>
          <cell r="C407" t="str">
            <v>RHES-SHANGAH</v>
          </cell>
          <cell r="F407">
            <v>2.0166482184147254</v>
          </cell>
          <cell r="G407">
            <v>3.9280380075667742</v>
          </cell>
          <cell r="H407">
            <v>5.2203328495710544</v>
          </cell>
          <cell r="I407">
            <v>6.0782073161645958</v>
          </cell>
          <cell r="J407">
            <v>7.6288730972260872</v>
          </cell>
          <cell r="K407"/>
        </row>
        <row r="408">
          <cell r="A408" t="str">
            <v>RHES-SHNGAHP</v>
          </cell>
          <cell r="B408" t="str">
            <v>VAR_fout</v>
          </cell>
          <cell r="C408" t="str">
            <v>CO2_R</v>
          </cell>
          <cell r="F408">
            <v>62.822685064225098</v>
          </cell>
          <cell r="G408">
            <v>118.70994680873</v>
          </cell>
          <cell r="H408">
            <v>154.79629570669201</v>
          </cell>
          <cell r="I408">
            <v>177.791090300908</v>
          </cell>
          <cell r="J408">
            <v>217.43187707385701</v>
          </cell>
          <cell r="K408"/>
        </row>
        <row r="409">
          <cell r="A409" t="str">
            <v>RHES-SHNGAHP</v>
          </cell>
          <cell r="B409" t="str">
            <v>VAR_fin</v>
          </cell>
          <cell r="C409" t="str">
            <v>RHESELCHPC</v>
          </cell>
          <cell r="F409">
            <v>2.0166482184147254</v>
          </cell>
          <cell r="G409">
            <v>3.9280380075667742</v>
          </cell>
          <cell r="H409">
            <v>5.2203328495710544</v>
          </cell>
          <cell r="I409">
            <v>6.0782073161645958</v>
          </cell>
          <cell r="J409">
            <v>7.6288730972260872</v>
          </cell>
          <cell r="K409"/>
        </row>
        <row r="410">
          <cell r="A410" t="str">
            <v>RHES-SHNGAHP</v>
          </cell>
          <cell r="B410" t="str">
            <v>VAR_fin</v>
          </cell>
          <cell r="C410" t="str">
            <v>RNGA</v>
          </cell>
          <cell r="F410">
            <v>1.1138773947557659</v>
          </cell>
          <cell r="G410">
            <v>2.1047862909349369</v>
          </cell>
          <cell r="H410">
            <v>2.7446151721044734</v>
          </cell>
          <cell r="I410">
            <v>3.1523242961153879</v>
          </cell>
          <cell r="J410">
            <v>3.8551751254229942</v>
          </cell>
        </row>
        <row r="411">
          <cell r="A411" t="str">
            <v>RHES-SHNGAHP</v>
          </cell>
          <cell r="B411" t="str">
            <v>VAR_ncap</v>
          </cell>
          <cell r="C411" t="str">
            <v>-</v>
          </cell>
          <cell r="E411">
            <v>6.5045822344691404E-8</v>
          </cell>
          <cell r="F411">
            <v>0.16292534017833199</v>
          </cell>
          <cell r="G411">
            <v>0.15441406994678</v>
          </cell>
          <cell r="H411">
            <v>0.104405144612816</v>
          </cell>
          <cell r="I411">
            <v>0.25232400384840997</v>
          </cell>
          <cell r="J411">
            <v>0.38903902507535298</v>
          </cell>
          <cell r="K411"/>
        </row>
        <row r="412">
          <cell r="A412" t="str">
            <v>RHES-SHNGAHP</v>
          </cell>
          <cell r="B412" t="str">
            <v>VAR_cap</v>
          </cell>
          <cell r="C412" t="str">
            <v>-</v>
          </cell>
          <cell r="E412">
            <v>6.5045822344691404E-8</v>
          </cell>
          <cell r="F412">
            <v>0.16292537877315857</v>
          </cell>
          <cell r="G412">
            <v>0.31733944579884471</v>
          </cell>
          <cell r="H412">
            <v>0.42174450739613523</v>
          </cell>
          <cell r="I412">
            <v>0.49104942720574873</v>
          </cell>
          <cell r="J412">
            <v>0.61632180369204836</v>
          </cell>
          <cell r="K412"/>
        </row>
        <row r="413">
          <cell r="A413" t="str">
            <v>D-RHES_LTH_CHPWOD</v>
          </cell>
          <cell r="B413" t="str">
            <v>VAR_fout</v>
          </cell>
          <cell r="C413" t="str">
            <v>RHES_LTH_CHPWOD_ON</v>
          </cell>
          <cell r="D413">
            <v>1.2786845064513276E-5</v>
          </cell>
          <cell r="E413">
            <v>5.953408251339512E-6</v>
          </cell>
          <cell r="F413">
            <v>2.1285667745253775E-6</v>
          </cell>
          <cell r="G413">
            <v>3.6903540183830555E-6</v>
          </cell>
          <cell r="H413">
            <v>1.8738927873479821E-6</v>
          </cell>
          <cell r="I413">
            <v>8.8431685506718781E-7</v>
          </cell>
          <cell r="J413">
            <v>1.7884599298187517E-6</v>
          </cell>
          <cell r="K413"/>
        </row>
        <row r="414">
          <cell r="A414" t="str">
            <v>D-RHES_LTH_CHPWOD</v>
          </cell>
          <cell r="B414" t="str">
            <v>VAR_fout</v>
          </cell>
          <cell r="C414" t="str">
            <v>RHSA_LTH</v>
          </cell>
          <cell r="D414">
            <v>1.1305535980934815E-5</v>
          </cell>
          <cell r="E414">
            <v>1.552733453957009E-5</v>
          </cell>
          <cell r="F414">
            <v>3.3064743673275882E-6</v>
          </cell>
          <cell r="G414">
            <v>8.5604697069309253E-6</v>
          </cell>
          <cell r="H414">
            <v>9.0974065463620364E-6</v>
          </cell>
          <cell r="I414">
            <v>9.0497237543958697E-6</v>
          </cell>
          <cell r="J414">
            <v>6.0738291079275985E-6</v>
          </cell>
        </row>
        <row r="415">
          <cell r="A415" t="str">
            <v>D-RHES_LTH_CHPWOD</v>
          </cell>
          <cell r="B415" t="str">
            <v>VAR_fin</v>
          </cell>
          <cell r="C415" t="str">
            <v>RHES_LTH_CHPWOD</v>
          </cell>
          <cell r="D415">
            <v>2.4092381045448106E-5</v>
          </cell>
          <cell r="E415">
            <v>2.1865214595206163E-5</v>
          </cell>
          <cell r="F415">
            <v>5.7075754760690465E-6</v>
          </cell>
          <cell r="G415">
            <v>1.2793193661785673E-5</v>
          </cell>
          <cell r="H415">
            <v>1.1772722792828363E-5</v>
          </cell>
          <cell r="I415">
            <v>1.0730747037392124E-5</v>
          </cell>
          <cell r="J415">
            <v>8.8835517362241429E-6</v>
          </cell>
        </row>
        <row r="416">
          <cell r="A416" t="str">
            <v>ITOT-SWHSOLBR</v>
          </cell>
          <cell r="B416" t="str">
            <v>VAR_fout</v>
          </cell>
          <cell r="C416" t="str">
            <v>ITOT-SWHASOL</v>
          </cell>
          <cell r="D416">
            <v>6.7641181729311065E-2</v>
          </cell>
          <cell r="E416">
            <v>8.5491523208523268E-2</v>
          </cell>
          <cell r="F416">
            <v>8.419430149156891E-2</v>
          </cell>
          <cell r="G416">
            <v>8.5486550814930021E-2</v>
          </cell>
          <cell r="H416">
            <v>3.32942562948935E-2</v>
          </cell>
          <cell r="I416">
            <v>8.5421946250484757E-2</v>
          </cell>
          <cell r="J416">
            <v>8.5451108393806721E-2</v>
          </cell>
          <cell r="K416"/>
        </row>
        <row r="417">
          <cell r="A417" t="str">
            <v>ITOT-SWHSOLBR</v>
          </cell>
          <cell r="B417" t="str">
            <v>VAR_fin</v>
          </cell>
          <cell r="C417" t="str">
            <v>SOL</v>
          </cell>
          <cell r="D417">
            <v>6.7641181729311065E-2</v>
          </cell>
          <cell r="E417">
            <v>8.5491523208523268E-2</v>
          </cell>
          <cell r="F417">
            <v>8.419430149156891E-2</v>
          </cell>
          <cell r="G417">
            <v>8.5486550814930021E-2</v>
          </cell>
          <cell r="H417">
            <v>3.32942562948935E-2</v>
          </cell>
          <cell r="I417">
            <v>8.5421946250484757E-2</v>
          </cell>
          <cell r="J417">
            <v>8.5451108393806721E-2</v>
          </cell>
          <cell r="K417"/>
        </row>
        <row r="418">
          <cell r="A418" t="str">
            <v>ITOT-SWHSOLBR</v>
          </cell>
          <cell r="B418" t="str">
            <v>VAR_ncap</v>
          </cell>
          <cell r="C418" t="str">
            <v>-</v>
          </cell>
          <cell r="E418">
            <v>2.6006272887123898E-3</v>
          </cell>
          <cell r="F418">
            <v>2.2077889801471199E-8</v>
          </cell>
          <cell r="G418">
            <v>2.2007489706106402E-8</v>
          </cell>
          <cell r="H418">
            <v>8.5413565803422707E-3</v>
          </cell>
          <cell r="I418">
            <v>3.8787650944544501E-3</v>
          </cell>
          <cell r="J418">
            <v>5.99159722347253E-3</v>
          </cell>
        </row>
        <row r="419">
          <cell r="A419" t="str">
            <v>ITOT-SWHSOLBR</v>
          </cell>
          <cell r="B419" t="str">
            <v>VAR_cap</v>
          </cell>
          <cell r="C419" t="str">
            <v>-</v>
          </cell>
          <cell r="D419">
            <v>9.8214799778629808E-3</v>
          </cell>
          <cell r="E419">
            <v>1.2422107266575371E-2</v>
          </cell>
          <cell r="F419">
            <v>1.242212934446517E-2</v>
          </cell>
          <cell r="G419">
            <v>1.2422151351954881E-2</v>
          </cell>
          <cell r="H419">
            <v>1.2420864681378671E-2</v>
          </cell>
          <cell r="I419">
            <v>1.24201406160892E-2</v>
          </cell>
          <cell r="J419">
            <v>1.24194952324586E-2</v>
          </cell>
        </row>
        <row r="420">
          <cell r="A420" t="str">
            <v>SCOM-SHNGAHP</v>
          </cell>
          <cell r="B420" t="str">
            <v>VAR_fout</v>
          </cell>
          <cell r="C420" t="str">
            <v>SCOM-SHANGAH</v>
          </cell>
          <cell r="F420">
            <v>1.7217033205497339</v>
          </cell>
          <cell r="G420">
            <v>3.4536906775593574</v>
          </cell>
          <cell r="H420">
            <v>4.8093650371988641</v>
          </cell>
          <cell r="I420">
            <v>6.0106664776963896</v>
          </cell>
          <cell r="J420">
            <v>8.6578316606338852</v>
          </cell>
          <cell r="K420"/>
        </row>
        <row r="421">
          <cell r="A421" t="str">
            <v>SCOM-SHNGAHP</v>
          </cell>
          <cell r="B421" t="str">
            <v>VAR_fout</v>
          </cell>
          <cell r="C421" t="str">
            <v>CO2_S</v>
          </cell>
          <cell r="F421">
            <v>50.887986972670298</v>
          </cell>
          <cell r="G421">
            <v>99.369220582829499</v>
          </cell>
          <cell r="H421">
            <v>135.434161739253</v>
          </cell>
          <cell r="I421">
            <v>166.239447862341</v>
          </cell>
          <cell r="J421">
            <v>230.943301821023</v>
          </cell>
          <cell r="K421"/>
        </row>
        <row r="422">
          <cell r="A422" t="str">
            <v>SCOM-SHNGAHP</v>
          </cell>
          <cell r="B422" t="str">
            <v>VAR_fin</v>
          </cell>
          <cell r="C422" t="str">
            <v>SCOMELCHPC</v>
          </cell>
          <cell r="F422">
            <v>1.7217033205497339</v>
          </cell>
          <cell r="G422">
            <v>3.4536906775593574</v>
          </cell>
          <cell r="H422">
            <v>4.8093650371988641</v>
          </cell>
          <cell r="I422">
            <v>6.0106664776963896</v>
          </cell>
          <cell r="J422">
            <v>8.6578316606338852</v>
          </cell>
        </row>
        <row r="423">
          <cell r="A423" t="str">
            <v>SCOM-SHNGAHP</v>
          </cell>
          <cell r="B423" t="str">
            <v>VAR_fin</v>
          </cell>
          <cell r="C423" t="str">
            <v>SNGA</v>
          </cell>
          <cell r="F423">
            <v>0.90226927256507528</v>
          </cell>
          <cell r="G423">
            <v>1.7618656131707353</v>
          </cell>
          <cell r="H423">
            <v>2.401314924454836</v>
          </cell>
          <cell r="I423">
            <v>2.9475079408216467</v>
          </cell>
          <cell r="J423">
            <v>4.0947393939897658</v>
          </cell>
        </row>
        <row r="424">
          <cell r="A424" t="str">
            <v>SCOM-SHNGAHP</v>
          </cell>
          <cell r="B424" t="str">
            <v>VAR_ncap</v>
          </cell>
          <cell r="C424" t="str">
            <v>-</v>
          </cell>
          <cell r="D424">
            <v>1.35884408911909E-7</v>
          </cell>
          <cell r="E424">
            <v>9.9058645186704297E-6</v>
          </cell>
          <cell r="F424">
            <v>0.13308678659460499</v>
          </cell>
          <cell r="G424">
            <v>0.133873831869112</v>
          </cell>
          <cell r="H424">
            <v>0.104806793448866</v>
          </cell>
          <cell r="I424">
            <v>0.24651092623306201</v>
          </cell>
          <cell r="J424">
            <v>0.44888379574751902</v>
          </cell>
          <cell r="K424"/>
        </row>
        <row r="425">
          <cell r="A425" t="str">
            <v>SCOM-SHNGAHP</v>
          </cell>
          <cell r="B425" t="str">
            <v>VAR_cap</v>
          </cell>
          <cell r="C425" t="str">
            <v>-</v>
          </cell>
          <cell r="D425">
            <v>1.35884408911909E-7</v>
          </cell>
          <cell r="E425">
            <v>9.9855702295046725E-6</v>
          </cell>
          <cell r="F425">
            <v>0.13309671992942065</v>
          </cell>
          <cell r="G425">
            <v>0.2669705620280049</v>
          </cell>
          <cell r="H425">
            <v>0.37177227731220225</v>
          </cell>
          <cell r="I425">
            <v>0.46632416057248294</v>
          </cell>
          <cell r="J425">
            <v>0.67211769433749802</v>
          </cell>
          <cell r="K425"/>
        </row>
        <row r="426">
          <cell r="A426" t="str">
            <v>RHNS-SHNGABR</v>
          </cell>
          <cell r="B426" t="str">
            <v>VAR_fout</v>
          </cell>
          <cell r="C426" t="str">
            <v>CO2_R</v>
          </cell>
          <cell r="E426">
            <v>6.0644357272083198</v>
          </cell>
          <cell r="F426">
            <v>3.2511402088477701</v>
          </cell>
          <cell r="G426">
            <v>6.6602520369437004</v>
          </cell>
          <cell r="H426">
            <v>8.4729013476334902</v>
          </cell>
          <cell r="I426">
            <v>9.6986352124121105</v>
          </cell>
          <cell r="J426">
            <v>10.3296329744072</v>
          </cell>
        </row>
        <row r="427">
          <cell r="A427" t="str">
            <v>RHNS-SHNGABR</v>
          </cell>
          <cell r="B427" t="str">
            <v>VAR_fout</v>
          </cell>
          <cell r="C427" t="str">
            <v>RHNS-SHNGA</v>
          </cell>
          <cell r="E427">
            <v>0.10214918334836708</v>
          </cell>
          <cell r="F427">
            <v>5.5318697012780277E-2</v>
          </cell>
          <cell r="G427">
            <v>0.11333163759266141</v>
          </cell>
          <cell r="H427">
            <v>0.1441797463957811</v>
          </cell>
          <cell r="I427">
            <v>0.16504125471632761</v>
          </cell>
          <cell r="J427">
            <v>0.1757789162616944</v>
          </cell>
        </row>
        <row r="428">
          <cell r="A428" t="str">
            <v>RHNS-SHNGABR</v>
          </cell>
          <cell r="B428" t="str">
            <v>VAR_fin</v>
          </cell>
          <cell r="C428" t="str">
            <v>RNGA</v>
          </cell>
          <cell r="E428">
            <v>0.10752545615617591</v>
          </cell>
          <cell r="F428">
            <v>5.7644329944109431E-2</v>
          </cell>
          <cell r="G428">
            <v>0.11808957512311516</v>
          </cell>
          <cell r="H428">
            <v>0.15022874729846628</v>
          </cell>
          <cell r="I428">
            <v>0.17196161724134956</v>
          </cell>
          <cell r="J428">
            <v>0.18314952082282193</v>
          </cell>
          <cell r="K428"/>
        </row>
        <row r="429">
          <cell r="A429" t="str">
            <v>RHNS-SHNGABR</v>
          </cell>
          <cell r="B429" t="str">
            <v>VAR_ncap</v>
          </cell>
          <cell r="C429" t="str">
            <v>-</v>
          </cell>
          <cell r="E429">
            <v>7.4738978659890298E-3</v>
          </cell>
          <cell r="F429">
            <v>1.83806322310899E-7</v>
          </cell>
          <cell r="G429">
            <v>7.9185137107576299E-4</v>
          </cell>
          <cell r="H429">
            <v>5.9315041526967604E-3</v>
          </cell>
          <cell r="I429">
            <v>5.60675735847283E-3</v>
          </cell>
          <cell r="J429">
            <v>6.6242131642745301E-3</v>
          </cell>
          <cell r="K429"/>
        </row>
        <row r="430">
          <cell r="A430" t="str">
            <v>RHNS-SHNGABR</v>
          </cell>
          <cell r="B430" t="str">
            <v>VAR_cap</v>
          </cell>
          <cell r="C430" t="str">
            <v>-</v>
          </cell>
          <cell r="E430">
            <v>7.4738978659890298E-3</v>
          </cell>
          <cell r="F430">
            <v>7.4739847256888947E-3</v>
          </cell>
          <cell r="G430">
            <v>8.2658453189676257E-3</v>
          </cell>
          <cell r="H430">
            <v>1.0552486844743476E-2</v>
          </cell>
          <cell r="I430">
            <v>1.2078948059745591E-2</v>
          </cell>
          <cell r="J430">
            <v>1.320214698087516E-2</v>
          </cell>
          <cell r="K430"/>
        </row>
        <row r="431">
          <cell r="A431" t="str">
            <v>D-RHNM_LTH_CHPNGA</v>
          </cell>
          <cell r="B431" t="str">
            <v>VAR_fout</v>
          </cell>
          <cell r="C431" t="str">
            <v>RHSA_LTH</v>
          </cell>
          <cell r="D431">
            <v>1.5623149007274526E-5</v>
          </cell>
          <cell r="E431">
            <v>1.509825733124878E-5</v>
          </cell>
          <cell r="F431">
            <v>2.7115021584451253E-3</v>
          </cell>
          <cell r="G431">
            <v>9.2957692091953135E-6</v>
          </cell>
          <cell r="H431">
            <v>5.7814996071929859E-6</v>
          </cell>
          <cell r="I431">
            <v>9.311082317754358E-6</v>
          </cell>
          <cell r="J431">
            <v>7.2251054805542078E-6</v>
          </cell>
          <cell r="K431"/>
        </row>
        <row r="432">
          <cell r="A432" t="str">
            <v>D-RHNM_LTH_CHPNGA</v>
          </cell>
          <cell r="B432" t="str">
            <v>VAR_fout</v>
          </cell>
          <cell r="C432" t="str">
            <v>LTH</v>
          </cell>
          <cell r="F432">
            <v>2.7841202914863122E-7</v>
          </cell>
          <cell r="K432"/>
        </row>
        <row r="433">
          <cell r="A433" t="str">
            <v>D-RHNM_LTH_CHPNGA</v>
          </cell>
          <cell r="B433" t="str">
            <v>VAR_fout</v>
          </cell>
          <cell r="C433" t="str">
            <v>RHNM_LTH_CHPNGA_ON</v>
          </cell>
          <cell r="D433">
            <v>9.7245709783068144E-6</v>
          </cell>
          <cell r="E433">
            <v>2.584361010096918E-3</v>
          </cell>
          <cell r="G433">
            <v>3.0902442981800653E-6</v>
          </cell>
          <cell r="H433">
            <v>5.2158554313205377E-6</v>
          </cell>
          <cell r="I433">
            <v>1.3832844036609049E-6</v>
          </cell>
          <cell r="J433">
            <v>6.3719467642337213E-7</v>
          </cell>
          <cell r="K433"/>
        </row>
        <row r="434">
          <cell r="A434" t="str">
            <v>D-RHNM_LTH_CHPNGA</v>
          </cell>
          <cell r="B434" t="str">
            <v>VAR_fin</v>
          </cell>
          <cell r="C434" t="str">
            <v>RHNM_LTH_CHPNGA</v>
          </cell>
          <cell r="D434">
            <v>2.5347719985581354E-5</v>
          </cell>
          <cell r="E434">
            <v>2.5997965402140091E-3</v>
          </cell>
          <cell r="F434">
            <v>2.7123750087916869E-3</v>
          </cell>
          <cell r="G434">
            <v>1.3156477182464956E-5</v>
          </cell>
          <cell r="H434">
            <v>1.1991557792456185E-5</v>
          </cell>
          <cell r="I434">
            <v>1.1623349372827213E-5</v>
          </cell>
          <cell r="J434">
            <v>8.883562301149544E-6</v>
          </cell>
          <cell r="K434"/>
        </row>
        <row r="435">
          <cell r="A435" t="str">
            <v>RHNM-SHELCHP</v>
          </cell>
          <cell r="B435" t="str">
            <v>VAR_fout</v>
          </cell>
          <cell r="C435" t="str">
            <v>RHNM-SHAELCH</v>
          </cell>
          <cell r="E435">
            <v>5.9106619902447679E-5</v>
          </cell>
          <cell r="F435">
            <v>0.91528497895386418</v>
          </cell>
          <cell r="G435">
            <v>1.6932097748929726</v>
          </cell>
          <cell r="H435">
            <v>2.242949987350034</v>
          </cell>
          <cell r="I435">
            <v>2.6806834994781856</v>
          </cell>
          <cell r="J435">
            <v>3.3736938582781675</v>
          </cell>
          <cell r="K435"/>
        </row>
        <row r="436">
          <cell r="A436" t="str">
            <v>RHNM-SHELCHP</v>
          </cell>
          <cell r="B436" t="str">
            <v>VAR_fin</v>
          </cell>
          <cell r="C436" t="str">
            <v>RHNM_ELC</v>
          </cell>
          <cell r="E436">
            <v>1.8168018412637605E-5</v>
          </cell>
          <cell r="F436">
            <v>0.26949035395230603</v>
          </cell>
          <cell r="G436">
            <v>0.48431380695670279</v>
          </cell>
          <cell r="H436">
            <v>0.62663863125070485</v>
          </cell>
          <cell r="I436">
            <v>0.73414195685715522</v>
          </cell>
          <cell r="J436">
            <v>0.88444717744849166</v>
          </cell>
          <cell r="K436"/>
        </row>
        <row r="437">
          <cell r="A437" t="str">
            <v>RHNM-SHELCHP</v>
          </cell>
          <cell r="B437" t="str">
            <v>VAR_fin</v>
          </cell>
          <cell r="C437" t="str">
            <v>RHNMELCHPC</v>
          </cell>
          <cell r="E437">
            <v>5.9106619902447679E-5</v>
          </cell>
          <cell r="F437">
            <v>0.91528497895386418</v>
          </cell>
          <cell r="G437">
            <v>1.6932097748929726</v>
          </cell>
          <cell r="H437">
            <v>2.242949987350034</v>
          </cell>
          <cell r="I437">
            <v>2.6806834994781856</v>
          </cell>
          <cell r="J437">
            <v>3.3736938582781675</v>
          </cell>
          <cell r="K437"/>
        </row>
        <row r="438">
          <cell r="A438" t="str">
            <v>RHNM-SHELCHP</v>
          </cell>
          <cell r="B438" t="str">
            <v>VAR_ncap</v>
          </cell>
          <cell r="C438" t="str">
            <v>-</v>
          </cell>
          <cell r="E438">
            <v>2.4509855728821301E-5</v>
          </cell>
          <cell r="F438">
            <v>7.1033442060974505E-2</v>
          </cell>
          <cell r="G438">
            <v>6.0394424391223701E-2</v>
          </cell>
          <cell r="H438">
            <v>4.2672628443772002E-2</v>
          </cell>
          <cell r="I438">
            <v>0.11157812088786</v>
          </cell>
          <cell r="J438">
            <v>0.162842541698589</v>
          </cell>
          <cell r="K438"/>
        </row>
        <row r="439">
          <cell r="A439" t="str">
            <v>RHNM-SHELCHP</v>
          </cell>
          <cell r="B439" t="str">
            <v>VAR_cap</v>
          </cell>
          <cell r="C439" t="str">
            <v>-</v>
          </cell>
          <cell r="E439">
            <v>2.4509855728821301E-5</v>
          </cell>
          <cell r="F439">
            <v>7.1057901063435097E-2</v>
          </cell>
          <cell r="G439">
            <v>0.13145215890754142</v>
          </cell>
          <cell r="H439">
            <v>0.17411282363333552</v>
          </cell>
          <cell r="I439">
            <v>0.20808078266925176</v>
          </cell>
          <cell r="J439">
            <v>0.26186877079527243</v>
          </cell>
          <cell r="K439"/>
        </row>
        <row r="440">
          <cell r="A440" t="str">
            <v>RHEM-SHSTG-ELC</v>
          </cell>
          <cell r="B440" t="str">
            <v>VAR_fout</v>
          </cell>
          <cell r="C440" t="str">
            <v>RHEM-SHAELCB</v>
          </cell>
          <cell r="D440">
            <v>0.77138512997351538</v>
          </cell>
          <cell r="E440">
            <v>0.75019002506802179</v>
          </cell>
          <cell r="F440">
            <v>9.1106087396392536E-3</v>
          </cell>
          <cell r="G440">
            <v>2.8689195396228722E-3</v>
          </cell>
          <cell r="H440">
            <v>6.412072916593903E-4</v>
          </cell>
          <cell r="I440">
            <v>6.4126731134270861E-4</v>
          </cell>
          <cell r="J440">
            <v>5.5023403952955663E-4</v>
          </cell>
        </row>
        <row r="441">
          <cell r="A441" t="str">
            <v>RHEM-SHSTG-ELC</v>
          </cell>
          <cell r="B441" t="str">
            <v>VAR_fout</v>
          </cell>
          <cell r="C441" t="str">
            <v>AUX_RHEM-SHSTG-ELC_OUT</v>
          </cell>
          <cell r="D441">
            <v>0.77215651510348915</v>
          </cell>
          <cell r="E441">
            <v>0.75094021509308984</v>
          </cell>
          <cell r="F441">
            <v>9.1197193483788814E-3</v>
          </cell>
          <cell r="G441">
            <v>2.8717884591624937E-3</v>
          </cell>
          <cell r="H441">
            <v>6.4184849895104941E-4</v>
          </cell>
          <cell r="I441">
            <v>6.4190857865405215E-4</v>
          </cell>
          <cell r="J441">
            <v>5.5078427356908646E-4</v>
          </cell>
        </row>
        <row r="442">
          <cell r="A442" t="str">
            <v>RHEM-SHSTG-ELC</v>
          </cell>
          <cell r="B442" t="str">
            <v>VAR_fin</v>
          </cell>
          <cell r="C442" t="str">
            <v>RHEM-SHAELCB</v>
          </cell>
          <cell r="D442">
            <v>0.77139127850182831</v>
          </cell>
          <cell r="E442">
            <v>0.75018993087232499</v>
          </cell>
          <cell r="F442">
            <v>9.1102061497363492E-3</v>
          </cell>
          <cell r="G442">
            <v>2.8687307160386436E-3</v>
          </cell>
          <cell r="H442">
            <v>6.414144908552296E-4</v>
          </cell>
          <cell r="I442">
            <v>6.4172043299653579E-4</v>
          </cell>
          <cell r="J442">
            <v>5.5066659742612116E-4</v>
          </cell>
          <cell r="K442"/>
        </row>
        <row r="443">
          <cell r="A443" t="str">
            <v>RHEM-SHSTG-ELC</v>
          </cell>
          <cell r="B443" t="str">
            <v>VAR_ncap</v>
          </cell>
          <cell r="C443" t="str">
            <v>-</v>
          </cell>
          <cell r="D443">
            <v>7.6893342719969102E-2</v>
          </cell>
          <cell r="E443">
            <v>1.1392916505361501E-5</v>
          </cell>
          <cell r="F443">
            <v>3.2572639484073299E-6</v>
          </cell>
          <cell r="G443">
            <v>5.5037327899652904E-6</v>
          </cell>
          <cell r="H443">
            <v>1.7536257168870901E-5</v>
          </cell>
          <cell r="I443">
            <v>8.5050688020024695E-5</v>
          </cell>
          <cell r="J443">
            <v>1.6884266295394301E-5</v>
          </cell>
          <cell r="K443"/>
        </row>
        <row r="444">
          <cell r="A444" t="str">
            <v>RHEM-SHSTG-ELC</v>
          </cell>
          <cell r="B444" t="str">
            <v>VAR_cap</v>
          </cell>
          <cell r="C444" t="str">
            <v>-</v>
          </cell>
          <cell r="D444">
            <v>7.6893342719969102E-2</v>
          </cell>
          <cell r="E444">
            <v>7.689413505022516E-2</v>
          </cell>
          <cell r="F444">
            <v>1.1328700395363961E-3</v>
          </cell>
          <cell r="G444">
            <v>4.0447282378459903E-4</v>
          </cell>
          <cell r="H444">
            <v>1.072946178703009E-4</v>
          </cell>
          <cell r="I444">
            <v>9.6529177182679807E-5</v>
          </cell>
          <cell r="J444">
            <v>7.5712889258501995E-5</v>
          </cell>
        </row>
        <row r="445">
          <cell r="A445" t="str">
            <v>RHNM-SHLTHCHPWOD</v>
          </cell>
          <cell r="B445" t="str">
            <v>VAR_ncap</v>
          </cell>
          <cell r="C445" t="str">
            <v>-</v>
          </cell>
          <cell r="G445">
            <v>3.2266576145427302E-6</v>
          </cell>
          <cell r="H445">
            <v>5.9150266695938804E-6</v>
          </cell>
          <cell r="I445">
            <v>3.6809907963906102E-6</v>
          </cell>
          <cell r="J445">
            <v>1.9523150105142099E-6</v>
          </cell>
        </row>
        <row r="446">
          <cell r="A446" t="str">
            <v>RHNM-SHLTHCHPWOD</v>
          </cell>
          <cell r="B446" t="str">
            <v>VAR_cap</v>
          </cell>
          <cell r="C446" t="str">
            <v>-</v>
          </cell>
          <cell r="G446">
            <v>3.2266576145427302E-6</v>
          </cell>
          <cell r="H446">
            <v>7.5337213605480396E-6</v>
          </cell>
          <cell r="I446">
            <v>6.6200169590446492E-6</v>
          </cell>
          <cell r="J446">
            <v>3.3198916199476198E-6</v>
          </cell>
          <cell r="K446"/>
        </row>
        <row r="447">
          <cell r="A447" t="str">
            <v>ITOT-SWHDEM</v>
          </cell>
          <cell r="B447" t="str">
            <v>VAR_fout</v>
          </cell>
          <cell r="C447" t="str">
            <v>ITOT-SWHD</v>
          </cell>
          <cell r="D447">
            <v>72.708169056255471</v>
          </cell>
          <cell r="E447">
            <v>73.852692481414579</v>
          </cell>
          <cell r="F447">
            <v>75.869305462110901</v>
          </cell>
          <cell r="G447">
            <v>76.896501473642374</v>
          </cell>
          <cell r="H447">
            <v>77.048203628618012</v>
          </cell>
          <cell r="I447">
            <v>77.025067957107964</v>
          </cell>
          <cell r="J447">
            <v>77.00162323742245</v>
          </cell>
        </row>
        <row r="448">
          <cell r="A448" t="str">
            <v>ITOT-SWHDEM</v>
          </cell>
          <cell r="B448" t="str">
            <v>VAR_fin</v>
          </cell>
          <cell r="C448" t="str">
            <v>ITOT-SWHNGAH</v>
          </cell>
          <cell r="F448">
            <v>2.6211072187232551E-2</v>
          </cell>
          <cell r="G448">
            <v>2.717213292596601E-2</v>
          </cell>
          <cell r="H448">
            <v>1.2634726699295613E-2</v>
          </cell>
          <cell r="I448">
            <v>0.14225593348706861</v>
          </cell>
          <cell r="J448">
            <v>0.10331988753491242</v>
          </cell>
        </row>
        <row r="449">
          <cell r="A449" t="str">
            <v>ITOT-SWHDEM</v>
          </cell>
          <cell r="B449" t="str">
            <v>VAR_fin</v>
          </cell>
          <cell r="C449" t="str">
            <v>ITOT-SWH</v>
          </cell>
          <cell r="D449">
            <v>61.718493339319387</v>
          </cell>
          <cell r="E449">
            <v>60.510694000658134</v>
          </cell>
          <cell r="F449">
            <v>62.402010073923222</v>
          </cell>
          <cell r="G449">
            <v>60.351260660322801</v>
          </cell>
          <cell r="H449">
            <v>56.489942025942817</v>
          </cell>
          <cell r="I449">
            <v>49.59403736939133</v>
          </cell>
          <cell r="J449">
            <v>45.674966296081614</v>
          </cell>
        </row>
        <row r="450">
          <cell r="A450" t="str">
            <v>ITOT-SWHDEM</v>
          </cell>
          <cell r="B450" t="str">
            <v>VAR_fin</v>
          </cell>
          <cell r="C450" t="str">
            <v>ITOT-SWHELCH</v>
          </cell>
          <cell r="D450">
            <v>1.1081275654045448</v>
          </cell>
          <cell r="E450">
            <v>1.4007906049714876</v>
          </cell>
          <cell r="F450">
            <v>1.4006325208859984</v>
          </cell>
          <cell r="G450">
            <v>3.985141378590463</v>
          </cell>
          <cell r="H450">
            <v>6.4552797820362304</v>
          </cell>
          <cell r="I450">
            <v>10.218920870463315</v>
          </cell>
          <cell r="J450">
            <v>13.126958532333909</v>
          </cell>
        </row>
        <row r="451">
          <cell r="A451" t="str">
            <v>ITOT-SWHDEM</v>
          </cell>
          <cell r="B451" t="str">
            <v>VAR_fin</v>
          </cell>
          <cell r="C451" t="str">
            <v>ITOT-SWHC</v>
          </cell>
          <cell r="E451">
            <v>1.5206604623210096</v>
          </cell>
          <cell r="F451">
            <v>1.5206596776387744</v>
          </cell>
          <cell r="G451">
            <v>1.5211894795154643</v>
          </cell>
          <cell r="H451">
            <v>3.1224705872683467</v>
          </cell>
          <cell r="I451">
            <v>6.0569094974880935</v>
          </cell>
          <cell r="J451">
            <v>7.1082103737582392</v>
          </cell>
        </row>
        <row r="452">
          <cell r="A452" t="str">
            <v>ITOT-SWHDEM</v>
          </cell>
          <cell r="B452" t="str">
            <v>VAR_fin</v>
          </cell>
          <cell r="C452" t="str">
            <v>ITOT-SWHELC</v>
          </cell>
          <cell r="D452">
            <v>9.8138989592955124</v>
          </cell>
          <cell r="E452">
            <v>10.335082975760931</v>
          </cell>
          <cell r="F452">
            <v>10.435644529979514</v>
          </cell>
          <cell r="G452">
            <v>10.92628719819619</v>
          </cell>
          <cell r="H452">
            <v>10.934644011391818</v>
          </cell>
          <cell r="I452">
            <v>10.927600219079032</v>
          </cell>
          <cell r="J452">
            <v>10.902790959662708</v>
          </cell>
        </row>
        <row r="453">
          <cell r="A453" t="str">
            <v>ITOT-SWHDEM</v>
          </cell>
          <cell r="B453" t="str">
            <v>VAR_fin</v>
          </cell>
          <cell r="C453" t="str">
            <v>ITOT-SWHSOL</v>
          </cell>
          <cell r="D453">
            <v>6.7649192236058156E-2</v>
          </cell>
          <cell r="E453">
            <v>8.5505066745775918E-2</v>
          </cell>
          <cell r="F453">
            <v>8.419936829516074E-2</v>
          </cell>
          <cell r="G453">
            <v>8.5493312924967715E-2</v>
          </cell>
          <cell r="H453">
            <v>3.3297215691046822E-2</v>
          </cell>
          <cell r="I453">
            <v>8.5419142963312475E-2</v>
          </cell>
          <cell r="J453">
            <v>8.5453144243386348E-2</v>
          </cell>
        </row>
        <row r="454">
          <cell r="A454" t="str">
            <v>D-RHNS_NKEV_GAS_ELC_CHP</v>
          </cell>
          <cell r="B454" t="str">
            <v>VAR_fout</v>
          </cell>
          <cell r="C454" t="str">
            <v>RHNS_ELC</v>
          </cell>
          <cell r="E454">
            <v>2.8084460022247397E-4</v>
          </cell>
          <cell r="F454">
            <v>2.9684520455094043E-4</v>
          </cell>
        </row>
        <row r="455">
          <cell r="A455" t="str">
            <v>D-RHNS_NKEV_GAS_ELC_CHP</v>
          </cell>
          <cell r="B455" t="str">
            <v>VAR_fout</v>
          </cell>
          <cell r="C455" t="str">
            <v>ELC5</v>
          </cell>
          <cell r="E455">
            <v>9.9998580715007738E-5</v>
          </cell>
          <cell r="F455">
            <v>1.1256912825039949E-4</v>
          </cell>
        </row>
        <row r="456">
          <cell r="A456" t="str">
            <v>D-RHNS_NKEV_GAS_ELC_CHP</v>
          </cell>
          <cell r="B456" t="str">
            <v>VAR_fin</v>
          </cell>
          <cell r="C456" t="str">
            <v>RHNS_NKEV_GAS_ELC_CHP</v>
          </cell>
          <cell r="E456">
            <v>3.8084318093748192E-4</v>
          </cell>
          <cell r="F456">
            <v>4.0677811196600429E-4</v>
          </cell>
        </row>
        <row r="457">
          <cell r="A457" t="str">
            <v>RHNM-SHSTG-NGAHP</v>
          </cell>
          <cell r="B457" t="str">
            <v>VAR_fout</v>
          </cell>
          <cell r="C457" t="str">
            <v>RHNM-SHANGAH</v>
          </cell>
          <cell r="F457">
            <v>1.1543258223862731E-2</v>
          </cell>
          <cell r="G457">
            <v>3.8787092608476348E-2</v>
          </cell>
          <cell r="H457">
            <v>5.746371845082647E-2</v>
          </cell>
          <cell r="I457">
            <v>6.9556228777156143E-2</v>
          </cell>
          <cell r="J457">
            <v>9.4122707284692658E-2</v>
          </cell>
        </row>
        <row r="458">
          <cell r="A458" t="str">
            <v>RHNM-SHSTG-NGAHP</v>
          </cell>
          <cell r="B458" t="str">
            <v>VAR_fout</v>
          </cell>
          <cell r="C458" t="str">
            <v>AUX_RHNM-SHSTG-NGAHP_OUT</v>
          </cell>
          <cell r="F458">
            <v>1.1554801482086593E-2</v>
          </cell>
          <cell r="G458">
            <v>3.8825879701084823E-2</v>
          </cell>
          <cell r="H458">
            <v>5.7521182169277263E-2</v>
          </cell>
          <cell r="I458">
            <v>6.9625785005933263E-2</v>
          </cell>
          <cell r="J458">
            <v>9.4216829991977336E-2</v>
          </cell>
        </row>
        <row r="459">
          <cell r="A459" t="str">
            <v>RHNM-SHSTG-NGAHP</v>
          </cell>
          <cell r="B459" t="str">
            <v>VAR_fin</v>
          </cell>
          <cell r="C459" t="str">
            <v>RHNM-SHANGAH</v>
          </cell>
          <cell r="F459">
            <v>1.1556384822572874E-2</v>
          </cell>
          <cell r="G459">
            <v>3.8800563916807668E-2</v>
          </cell>
          <cell r="H459">
            <v>5.7470177954203235E-2</v>
          </cell>
          <cell r="I459">
            <v>6.9563284261986796E-2</v>
          </cell>
          <cell r="J459">
            <v>9.4129595023754162E-2</v>
          </cell>
        </row>
        <row r="460">
          <cell r="A460" t="str">
            <v>RHNM-SHSTG-NGAHP</v>
          </cell>
          <cell r="B460" t="str">
            <v>VAR_ncap</v>
          </cell>
          <cell r="C460" t="str">
            <v>-</v>
          </cell>
          <cell r="D460">
            <v>3.089548337859E-6</v>
          </cell>
          <cell r="E460">
            <v>4.1115580529111597E-6</v>
          </cell>
          <cell r="F460">
            <v>4.2201183012470101E-3</v>
          </cell>
          <cell r="G460">
            <v>8.2554565534912402E-3</v>
          </cell>
          <cell r="H460">
            <v>6.21784196780593E-3</v>
          </cell>
          <cell r="I460">
            <v>1.08416872171044E-2</v>
          </cell>
          <cell r="J460">
            <v>2.1443030338967901E-2</v>
          </cell>
        </row>
        <row r="461">
          <cell r="A461" t="str">
            <v>RHNM-SHSTG-NGAHP</v>
          </cell>
          <cell r="B461" t="str">
            <v>VAR_cap</v>
          </cell>
          <cell r="C461" t="str">
            <v>-</v>
          </cell>
          <cell r="D461">
            <v>3.089548337859E-6</v>
          </cell>
          <cell r="E461">
            <v>3.5428035830950949E-7</v>
          </cell>
          <cell r="F461">
            <v>4.2177240020999998E-3</v>
          </cell>
          <cell r="G461">
            <v>1.2468449249710516E-2</v>
          </cell>
          <cell r="H461">
            <v>1.8674588041034793E-2</v>
          </cell>
          <cell r="I461">
            <v>2.3419722869130636E-2</v>
          </cell>
          <cell r="J461">
            <v>3.1924419297884712E-2</v>
          </cell>
        </row>
        <row r="462">
          <cell r="A462" t="str">
            <v>D-IBIO</v>
          </cell>
          <cell r="B462" t="str">
            <v>VAR_fout</v>
          </cell>
          <cell r="C462" t="str">
            <v>IBIO</v>
          </cell>
          <cell r="D462">
            <v>0.43672788829695591</v>
          </cell>
          <cell r="E462">
            <v>0.552066785112303</v>
          </cell>
          <cell r="F462">
            <v>1.7181878395373353</v>
          </cell>
          <cell r="G462">
            <v>4.5887008579231034</v>
          </cell>
          <cell r="H462">
            <v>5.4042019729976758</v>
          </cell>
          <cell r="I462">
            <v>8.428273617993657</v>
          </cell>
          <cell r="J462">
            <v>10.666123376397696</v>
          </cell>
        </row>
        <row r="463">
          <cell r="A463" t="str">
            <v>D-IBIO</v>
          </cell>
          <cell r="B463" t="str">
            <v>VAR_fin</v>
          </cell>
          <cell r="C463" t="str">
            <v>BIO</v>
          </cell>
          <cell r="D463">
            <v>0.43672788829695591</v>
          </cell>
          <cell r="E463">
            <v>0.552066785112303</v>
          </cell>
          <cell r="F463">
            <v>1.7181878395373353</v>
          </cell>
          <cell r="G463">
            <v>4.5887008579231034</v>
          </cell>
          <cell r="H463">
            <v>5.4042019729976758</v>
          </cell>
          <cell r="I463">
            <v>8.428273617993657</v>
          </cell>
          <cell r="J463">
            <v>10.666123376397696</v>
          </cell>
        </row>
        <row r="464">
          <cell r="A464" t="str">
            <v>RHNS-SHLFOBR</v>
          </cell>
          <cell r="B464" t="str">
            <v>VAR_fout</v>
          </cell>
          <cell r="C464" t="str">
            <v>CO2_R</v>
          </cell>
          <cell r="E464">
            <v>1.13751059739005E-3</v>
          </cell>
          <cell r="F464">
            <v>3.2289257860638401</v>
          </cell>
          <cell r="G464">
            <v>4.9913347207402401</v>
          </cell>
          <cell r="H464">
            <v>5.7171519282175298</v>
          </cell>
          <cell r="I464">
            <v>5.6739222562352802</v>
          </cell>
        </row>
        <row r="465">
          <cell r="A465" t="str">
            <v>RHNS-SHLFOBR</v>
          </cell>
          <cell r="B465" t="str">
            <v>VAR_fout</v>
          </cell>
          <cell r="C465" t="str">
            <v>RHNS-SHLFO</v>
          </cell>
          <cell r="E465">
            <v>1.3826593082251295E-5</v>
          </cell>
          <cell r="F465">
            <v>4.1592362600206503E-2</v>
          </cell>
          <cell r="G465">
            <v>6.4294845856196714E-2</v>
          </cell>
          <cell r="H465">
            <v>7.3648499216463048E-2</v>
          </cell>
          <cell r="I465">
            <v>7.3093895677487294E-2</v>
          </cell>
        </row>
        <row r="466">
          <cell r="A466" t="str">
            <v>RHNS-SHLFOBR</v>
          </cell>
          <cell r="B466" t="str">
            <v>VAR_fin</v>
          </cell>
          <cell r="C466" t="str">
            <v>RLFO</v>
          </cell>
          <cell r="E466">
            <v>1.5434336463908399E-5</v>
          </cell>
          <cell r="F466">
            <v>4.3811747436415777E-2</v>
          </cell>
          <cell r="G466">
            <v>6.7725030132160621E-2</v>
          </cell>
          <cell r="H466">
            <v>7.7573296176628601E-2</v>
          </cell>
          <cell r="I466">
            <v>7.6986733463165286E-2</v>
          </cell>
        </row>
        <row r="467">
          <cell r="A467" t="str">
            <v>RHNS-SHLFOBR</v>
          </cell>
          <cell r="B467" t="str">
            <v>VAR_ncap</v>
          </cell>
          <cell r="C467" t="str">
            <v>-</v>
          </cell>
          <cell r="E467">
            <v>4.1492728261707497E-6</v>
          </cell>
          <cell r="F467">
            <v>3.0064638977770699E-2</v>
          </cell>
        </row>
        <row r="468">
          <cell r="A468" t="str">
            <v>RHNS-SHLFOBR</v>
          </cell>
          <cell r="B468" t="str">
            <v>VAR_cap</v>
          </cell>
          <cell r="C468" t="str">
            <v>-</v>
          </cell>
          <cell r="E468">
            <v>4.1492728261707497E-6</v>
          </cell>
          <cell r="F468">
            <v>3.0066994695273373E-2</v>
          </cell>
          <cell r="G468">
            <v>3.0065668914480245E-2</v>
          </cell>
          <cell r="H468">
            <v>3.0064659151484735E-2</v>
          </cell>
          <cell r="I468">
            <v>5.3251039733070204E-3</v>
          </cell>
        </row>
        <row r="469">
          <cell r="A469" t="str">
            <v>D-SNGA</v>
          </cell>
          <cell r="B469" t="str">
            <v>VAR_fout</v>
          </cell>
          <cell r="C469" t="str">
            <v>CO2</v>
          </cell>
          <cell r="D469">
            <v>1521.83054530101</v>
          </cell>
          <cell r="E469">
            <v>1505.0978421386101</v>
          </cell>
          <cell r="F469">
            <v>1385.92866279088</v>
          </cell>
          <cell r="G469">
            <v>1283.4050313791199</v>
          </cell>
          <cell r="H469">
            <v>1127.3547489922501</v>
          </cell>
          <cell r="I469">
            <v>964.51321943799098</v>
          </cell>
          <cell r="J469">
            <v>698.98393517330101</v>
          </cell>
        </row>
        <row r="470">
          <cell r="A470" t="str">
            <v>D-SNGA</v>
          </cell>
          <cell r="B470" t="str">
            <v>VAR_fout</v>
          </cell>
          <cell r="C470" t="str">
            <v>SNGA</v>
          </cell>
          <cell r="D470">
            <v>27.203967279510259</v>
          </cell>
          <cell r="E470">
            <v>28.488315909593684</v>
          </cell>
          <cell r="F470">
            <v>24.958895149710372</v>
          </cell>
          <cell r="G470">
            <v>22.683637796084472</v>
          </cell>
          <cell r="H470">
            <v>19.925591833619965</v>
          </cell>
          <cell r="I470">
            <v>17.04688145705888</v>
          </cell>
          <cell r="J470">
            <v>12.353890108300799</v>
          </cell>
        </row>
        <row r="471">
          <cell r="A471" t="str">
            <v>D-SNGA</v>
          </cell>
          <cell r="B471" t="str">
            <v>VAR_fin</v>
          </cell>
          <cell r="C471" t="str">
            <v>NGA</v>
          </cell>
          <cell r="D471">
            <v>26.982811086897318</v>
          </cell>
          <cell r="E471">
            <v>26.686131952812307</v>
          </cell>
          <cell r="F471">
            <v>24.573203240972994</v>
          </cell>
          <cell r="G471">
            <v>22.755408357785878</v>
          </cell>
          <cell r="H471">
            <v>19.988559379295186</v>
          </cell>
          <cell r="I471">
            <v>17.101298216985672</v>
          </cell>
          <cell r="J471">
            <v>12.393332183923778</v>
          </cell>
        </row>
        <row r="472">
          <cell r="A472" t="str">
            <v>D-SNGA</v>
          </cell>
          <cell r="B472" t="str">
            <v>VAR_fin</v>
          </cell>
          <cell r="C472" t="str">
            <v>BNGA</v>
          </cell>
          <cell r="D472">
            <v>0.30806251935707485</v>
          </cell>
          <cell r="E472">
            <v>1.8931932888170695</v>
          </cell>
          <cell r="F472">
            <v>0.46542608407904179</v>
          </cell>
          <cell r="G472">
            <v>6.9654312507220085E-4</v>
          </cell>
          <cell r="H472">
            <v>6.9279823303679928E-4</v>
          </cell>
          <cell r="I472">
            <v>4.7489048689095154E-5</v>
          </cell>
          <cell r="J472">
            <v>2.9007760549428098E-5</v>
          </cell>
        </row>
        <row r="473">
          <cell r="A473" t="str">
            <v>D-SNGA</v>
          </cell>
          <cell r="B473" t="str">
            <v>VAR_ncap</v>
          </cell>
          <cell r="C473" t="str">
            <v>-</v>
          </cell>
          <cell r="D473">
            <v>7.3970535087961806E-8</v>
          </cell>
          <cell r="E473">
            <v>2.9019836902292399E-8</v>
          </cell>
          <cell r="F473">
            <v>3.4887330160566701E-8</v>
          </cell>
          <cell r="G473">
            <v>4.0834057865580099E-8</v>
          </cell>
          <cell r="H473">
            <v>7.1263971634177097E-8</v>
          </cell>
          <cell r="I473">
            <v>8.0127364705020499E-8</v>
          </cell>
          <cell r="J473">
            <v>1.85469374348085E-7</v>
          </cell>
        </row>
        <row r="474">
          <cell r="A474" t="str">
            <v>D-SNGA</v>
          </cell>
          <cell r="B474" t="str">
            <v>VAR_cap</v>
          </cell>
          <cell r="C474" t="str">
            <v>-</v>
          </cell>
          <cell r="D474">
            <v>2.2350522755956752</v>
          </cell>
          <cell r="E474">
            <v>2.235052304615512</v>
          </cell>
          <cell r="F474">
            <v>2.2350523395028423</v>
          </cell>
          <cell r="G474">
            <v>2.2350523803369002</v>
          </cell>
          <cell r="H474">
            <v>2.2350524516008718</v>
          </cell>
          <cell r="I474">
            <v>2.2350525317282366</v>
          </cell>
          <cell r="J474">
            <v>1.1208910180613307</v>
          </cell>
        </row>
        <row r="475">
          <cell r="A475" t="str">
            <v>D-IPLT</v>
          </cell>
          <cell r="B475" t="str">
            <v>VAR_fout</v>
          </cell>
          <cell r="C475" t="str">
            <v>IPLT</v>
          </cell>
          <cell r="D475">
            <v>0.62578933952296967</v>
          </cell>
          <cell r="E475">
            <v>0.73757443264065503</v>
          </cell>
          <cell r="F475">
            <v>0.73639804823255517</v>
          </cell>
          <cell r="G475">
            <v>0.73433146241348601</v>
          </cell>
          <cell r="H475">
            <v>0.73227895013471855</v>
          </cell>
          <cell r="I475">
            <v>0.73023602114738217</v>
          </cell>
          <cell r="J475">
            <v>0.72618231958666135</v>
          </cell>
        </row>
        <row r="476">
          <cell r="A476" t="str">
            <v>D-IPLT</v>
          </cell>
          <cell r="B476" t="str">
            <v>VAR_fin</v>
          </cell>
          <cell r="C476" t="str">
            <v>PLT</v>
          </cell>
          <cell r="D476">
            <v>0.62578933952296967</v>
          </cell>
          <cell r="E476">
            <v>0.73757443264065503</v>
          </cell>
          <cell r="F476">
            <v>0.73639804823255517</v>
          </cell>
          <cell r="G476">
            <v>0.73433146241348601</v>
          </cell>
          <cell r="H476">
            <v>0.73227895013471855</v>
          </cell>
          <cell r="I476">
            <v>0.73023602114738217</v>
          </cell>
          <cell r="J476">
            <v>0.72618231958666135</v>
          </cell>
        </row>
        <row r="477">
          <cell r="A477" t="str">
            <v>ITOT-SWHWODBR</v>
          </cell>
          <cell r="B477" t="str">
            <v>VAR_fout</v>
          </cell>
          <cell r="C477" t="str">
            <v>ITOT-SWH</v>
          </cell>
          <cell r="D477">
            <v>5.3111240812657341</v>
          </cell>
          <cell r="E477">
            <v>6.2669396196579381</v>
          </cell>
          <cell r="F477">
            <v>6.0336283593019617</v>
          </cell>
          <cell r="G477">
            <v>6.1244687297876785</v>
          </cell>
          <cell r="H477">
            <v>5.9962140942101172</v>
          </cell>
          <cell r="I477">
            <v>5.7345925249536416</v>
          </cell>
          <cell r="J477">
            <v>5.753241461067585</v>
          </cell>
        </row>
        <row r="478">
          <cell r="A478" t="str">
            <v>ITOT-SWHWODBR</v>
          </cell>
          <cell r="B478" t="str">
            <v>VAR_fin</v>
          </cell>
          <cell r="C478" t="str">
            <v>IWOD</v>
          </cell>
          <cell r="D478">
            <v>9.0019052224842984</v>
          </cell>
          <cell r="E478">
            <v>10.609942922671451</v>
          </cell>
          <cell r="F478">
            <v>10.197681734031493</v>
          </cell>
          <cell r="G478">
            <v>10.322138308630933</v>
          </cell>
          <cell r="H478">
            <v>10.077670746571622</v>
          </cell>
          <cell r="I478">
            <v>9.6110489245032991</v>
          </cell>
          <cell r="J478">
            <v>9.5887357684459857</v>
          </cell>
        </row>
        <row r="479">
          <cell r="A479" t="str">
            <v>ITOT-SWHWODBR</v>
          </cell>
          <cell r="B479" t="str">
            <v>VAR_fin</v>
          </cell>
          <cell r="C479" t="str">
            <v>ITOTWODBRC</v>
          </cell>
          <cell r="D479">
            <v>5.3111240812657341</v>
          </cell>
          <cell r="E479">
            <v>6.2669396196579381</v>
          </cell>
          <cell r="F479">
            <v>6.0336283593019617</v>
          </cell>
          <cell r="G479">
            <v>6.1244687297876785</v>
          </cell>
          <cell r="H479">
            <v>5.9962140942101172</v>
          </cell>
          <cell r="I479">
            <v>5.7345925249536416</v>
          </cell>
          <cell r="J479">
            <v>5.753241461067585</v>
          </cell>
        </row>
        <row r="480">
          <cell r="A480" t="str">
            <v>ITOT-SWHWODBR</v>
          </cell>
          <cell r="B480" t="str">
            <v>VAR_ncap</v>
          </cell>
          <cell r="C480" t="str">
            <v>-</v>
          </cell>
          <cell r="E480">
            <v>5.2092799817689897E-2</v>
          </cell>
          <cell r="F480">
            <v>1.07882078183264E-6</v>
          </cell>
          <cell r="G480">
            <v>1.8536181843786E-6</v>
          </cell>
          <cell r="H480">
            <v>0.228559445298647</v>
          </cell>
          <cell r="I480">
            <v>8.6911360834020707E-2</v>
          </cell>
          <cell r="J480">
            <v>0.16586727553789099</v>
          </cell>
        </row>
        <row r="481">
          <cell r="A481" t="str">
            <v>ITOT-SWHWODBR</v>
          </cell>
          <cell r="B481" t="str">
            <v>VAR_cap</v>
          </cell>
          <cell r="C481" t="str">
            <v>-</v>
          </cell>
          <cell r="D481">
            <v>0.28883369534761499</v>
          </cell>
          <cell r="E481">
            <v>0.34092610984297234</v>
          </cell>
          <cell r="F481">
            <v>0.34091870631716675</v>
          </cell>
          <cell r="G481">
            <v>0.34091596818875736</v>
          </cell>
          <cell r="H481">
            <v>0.3301467169544669</v>
          </cell>
          <cell r="I481">
            <v>0.31547004105873611</v>
          </cell>
          <cell r="J481">
            <v>0.32561931798173993</v>
          </cell>
        </row>
        <row r="482">
          <cell r="A482" t="str">
            <v>D-ITOT_KEV_WOD_ELC_CHP</v>
          </cell>
          <cell r="B482" t="str">
            <v>VAR_fout</v>
          </cell>
          <cell r="C482" t="str">
            <v>ITOT_ELC</v>
          </cell>
          <cell r="D482">
            <v>1.4172286813919041E-4</v>
          </cell>
          <cell r="E482">
            <v>5.2145192902896405E-5</v>
          </cell>
          <cell r="F482">
            <v>8.8767651076295713E-5</v>
          </cell>
          <cell r="G482">
            <v>5.1652224696760007E-4</v>
          </cell>
          <cell r="H482">
            <v>2.3326319042697592</v>
          </cell>
          <cell r="I482">
            <v>2.9515826539045587</v>
          </cell>
          <cell r="J482">
            <v>3.9058125782010595</v>
          </cell>
        </row>
        <row r="483">
          <cell r="A483" t="str">
            <v>D-ITOT_KEV_WOD_ELC_CHP</v>
          </cell>
          <cell r="B483" t="str">
            <v>VAR_fout</v>
          </cell>
          <cell r="C483" t="str">
            <v>ELC5</v>
          </cell>
          <cell r="D483">
            <v>0.17232302079136183</v>
          </cell>
          <cell r="E483">
            <v>0.45840486171603634</v>
          </cell>
          <cell r="F483">
            <v>1.2560525749740268</v>
          </cell>
          <cell r="G483">
            <v>1.6035186312314138</v>
          </cell>
          <cell r="H483">
            <v>1.0556635732967342E-3</v>
          </cell>
          <cell r="I483">
            <v>4.8432361865938391E-2</v>
          </cell>
          <cell r="J483">
            <v>2.0565997967317555E-2</v>
          </cell>
        </row>
        <row r="484">
          <cell r="A484" t="str">
            <v>D-ITOT_KEV_WOD_ELC_CHP</v>
          </cell>
          <cell r="B484" t="str">
            <v>VAR_fin</v>
          </cell>
          <cell r="C484" t="str">
            <v>ITOT_KEV_WOD_ELC_CHP</v>
          </cell>
          <cell r="D484">
            <v>0.17246474365950104</v>
          </cell>
          <cell r="E484">
            <v>0.4584570069089392</v>
          </cell>
          <cell r="F484">
            <v>1.2561389768441567</v>
          </cell>
          <cell r="G484">
            <v>1.604031072193671</v>
          </cell>
          <cell r="H484">
            <v>2.3336828365768252</v>
          </cell>
          <cell r="I484">
            <v>3.0000102969523246</v>
          </cell>
          <cell r="J484">
            <v>3.9263738521886391</v>
          </cell>
        </row>
        <row r="485">
          <cell r="A485" t="str">
            <v>RHEM-SHSTG-SOL</v>
          </cell>
          <cell r="B485" t="str">
            <v>VAR_fout</v>
          </cell>
          <cell r="C485" t="str">
            <v>RHEM-SHASOL</v>
          </cell>
          <cell r="D485">
            <v>9.5864745622343012E-2</v>
          </cell>
          <cell r="E485">
            <v>8.34229999156368E-2</v>
          </cell>
          <cell r="F485">
            <v>3.7735472707888617E-3</v>
          </cell>
          <cell r="G485">
            <v>5.3626518247547814E-3</v>
          </cell>
          <cell r="H485">
            <v>7.0850278579258933E-3</v>
          </cell>
          <cell r="I485">
            <v>2.587386867357766E-3</v>
          </cell>
          <cell r="J485">
            <v>3.1121970480278522E-3</v>
          </cell>
        </row>
        <row r="486">
          <cell r="A486" t="str">
            <v>RHEM-SHSTG-SOL</v>
          </cell>
          <cell r="B486" t="str">
            <v>VAR_fout</v>
          </cell>
          <cell r="C486" t="str">
            <v>AUX_RHEM-SHSTG-SOL_OUT</v>
          </cell>
          <cell r="D486">
            <v>9.596061036796534E-2</v>
          </cell>
          <cell r="E486">
            <v>8.3506422915552492E-2</v>
          </cell>
          <cell r="F486">
            <v>3.7773208180596498E-3</v>
          </cell>
          <cell r="G486">
            <v>5.3680144765795345E-3</v>
          </cell>
          <cell r="H486">
            <v>7.0921128857838198E-3</v>
          </cell>
          <cell r="I486">
            <v>2.5899742542251267E-3</v>
          </cell>
          <cell r="J486">
            <v>3.1153092450758803E-3</v>
          </cell>
        </row>
        <row r="487">
          <cell r="A487" t="str">
            <v>RHEM-SHSTG-SOL</v>
          </cell>
          <cell r="B487" t="str">
            <v>VAR_fin</v>
          </cell>
          <cell r="C487" t="str">
            <v>RHEM-SHASOL</v>
          </cell>
          <cell r="D487">
            <v>9.5864791429849161E-2</v>
          </cell>
          <cell r="E487">
            <v>8.3426009017090019E-2</v>
          </cell>
          <cell r="F487">
            <v>3.776582179351777E-3</v>
          </cell>
          <cell r="G487">
            <v>5.3655999974297989E-3</v>
          </cell>
          <cell r="H487">
            <v>7.0862924820408648E-3</v>
          </cell>
          <cell r="I487">
            <v>2.5890743790591641E-3</v>
          </cell>
          <cell r="J487">
            <v>3.1140560074982278E-3</v>
          </cell>
        </row>
        <row r="488">
          <cell r="A488" t="str">
            <v>RHEM-SHSTG-SOL</v>
          </cell>
          <cell r="B488" t="str">
            <v>VAR_ncap</v>
          </cell>
          <cell r="C488" t="str">
            <v>-</v>
          </cell>
          <cell r="D488">
            <v>1.5827175580408501E-2</v>
          </cell>
          <cell r="E488">
            <v>2.6375874218628102E-4</v>
          </cell>
          <cell r="F488">
            <v>6.0295630995408695E-8</v>
          </cell>
          <cell r="G488">
            <v>7.6032932925047601E-8</v>
          </cell>
          <cell r="H488">
            <v>6.3227222753384595E-5</v>
          </cell>
          <cell r="I488">
            <v>3.8110133743200498E-4</v>
          </cell>
          <cell r="J488">
            <v>1.47451817273327E-4</v>
          </cell>
        </row>
        <row r="489">
          <cell r="A489" t="str">
            <v>RHEM-SHSTG-SOL</v>
          </cell>
          <cell r="B489" t="str">
            <v>VAR_cap</v>
          </cell>
          <cell r="C489" t="str">
            <v>-</v>
          </cell>
          <cell r="D489">
            <v>1.5827175580408501E-2</v>
          </cell>
          <cell r="E489">
            <v>1.6090934322594699E-2</v>
          </cell>
          <cell r="F489">
            <v>1.6090994618225701E-2</v>
          </cell>
          <cell r="G489">
            <v>1.6091070651158699E-2</v>
          </cell>
          <cell r="H489">
            <v>4.3030316175579602E-3</v>
          </cell>
          <cell r="I489">
            <v>4.4439116931578598E-4</v>
          </cell>
          <cell r="J489">
            <v>4.50774610885589E-4</v>
          </cell>
        </row>
        <row r="490">
          <cell r="A490" t="str">
            <v>ITOT-SWHCONBR10</v>
          </cell>
          <cell r="B490" t="str">
            <v>VAR_fout</v>
          </cell>
          <cell r="C490" t="str">
            <v>ITOT-ELS</v>
          </cell>
          <cell r="J490">
            <v>8.3179057597115372E-6</v>
          </cell>
        </row>
        <row r="491">
          <cell r="A491" t="str">
            <v>ITOT-SWHCONBR10</v>
          </cell>
          <cell r="B491" t="str">
            <v>VAR_fout</v>
          </cell>
          <cell r="C491" t="str">
            <v>ITOT-SWHC</v>
          </cell>
          <cell r="J491">
            <v>5.2927672533899546E-5</v>
          </cell>
        </row>
        <row r="492">
          <cell r="A492" t="str">
            <v>ITOT-SWHCONBR10</v>
          </cell>
          <cell r="B492" t="str">
            <v>VAR_fin</v>
          </cell>
          <cell r="C492" t="str">
            <v>CON</v>
          </cell>
          <cell r="J492">
            <v>6.1522472314374079E-5</v>
          </cell>
        </row>
        <row r="493">
          <cell r="A493" t="str">
            <v>ITOT-SWHCONBR10</v>
          </cell>
          <cell r="B493" t="str">
            <v>VAR_ncap</v>
          </cell>
          <cell r="C493" t="str">
            <v>-</v>
          </cell>
          <cell r="J493">
            <v>2.8815647231866002E-6</v>
          </cell>
        </row>
        <row r="494">
          <cell r="A494" t="str">
            <v>ITOT-SWHCONBR10</v>
          </cell>
          <cell r="B494" t="str">
            <v>VAR_cap</v>
          </cell>
          <cell r="C494" t="str">
            <v>-</v>
          </cell>
          <cell r="J494">
            <v>2.8815647231866002E-6</v>
          </cell>
        </row>
        <row r="495">
          <cell r="A495" t="str">
            <v>SCOM-SHSTG</v>
          </cell>
          <cell r="B495" t="str">
            <v>VAR_fout</v>
          </cell>
          <cell r="C495" t="str">
            <v>AUX_SCOM-SHSTG_OUT</v>
          </cell>
          <cell r="D495">
            <v>5.5657031769545862E-6</v>
          </cell>
          <cell r="E495">
            <v>5.3949893412761375E-5</v>
          </cell>
          <cell r="F495">
            <v>2.4954683118380017E-5</v>
          </cell>
          <cell r="G495">
            <v>1.1974911679991363E-5</v>
          </cell>
          <cell r="H495">
            <v>1.3248822235251171E-5</v>
          </cell>
          <cell r="I495">
            <v>1.7020161832276166E-5</v>
          </cell>
          <cell r="J495">
            <v>4.7775044845183164E-4</v>
          </cell>
        </row>
        <row r="496">
          <cell r="A496" t="str">
            <v>SCOM-SHSTG</v>
          </cell>
          <cell r="B496" t="str">
            <v>VAR_fout</v>
          </cell>
          <cell r="C496" t="str">
            <v>SCOM-SHD</v>
          </cell>
          <cell r="D496">
            <v>5.565703176954593E-6</v>
          </cell>
          <cell r="E496">
            <v>5.3993990388220154E-5</v>
          </cell>
          <cell r="F496">
            <v>2.4986553722618075E-5</v>
          </cell>
          <cell r="G496">
            <v>1.1974911679991343E-5</v>
          </cell>
          <cell r="H496">
            <v>1.326355952361071E-5</v>
          </cell>
          <cell r="I496">
            <v>1.7020161832276143E-5</v>
          </cell>
          <cell r="J496">
            <v>4.7775044845183164E-4</v>
          </cell>
        </row>
        <row r="497">
          <cell r="A497" t="str">
            <v>SCOM-SHSTG</v>
          </cell>
          <cell r="B497" t="str">
            <v>VAR_fin</v>
          </cell>
          <cell r="C497" t="str">
            <v>AUX_SCOM-SHSTG_IN</v>
          </cell>
          <cell r="D497">
            <v>7.0758476717723889E-6</v>
          </cell>
          <cell r="E497">
            <v>6.5943838882331251E-5</v>
          </cell>
          <cell r="F497">
            <v>3.0005986855006579E-5</v>
          </cell>
          <cell r="G497">
            <v>1.3977659175207967E-5</v>
          </cell>
          <cell r="H497">
            <v>1.3358926660422246E-5</v>
          </cell>
          <cell r="I497">
            <v>1.8524090493279446E-5</v>
          </cell>
          <cell r="J497">
            <v>4.8261152106020532E-4</v>
          </cell>
        </row>
        <row r="498">
          <cell r="A498" t="str">
            <v>SCOM-SHSTG</v>
          </cell>
          <cell r="B498" t="str">
            <v>VAR_fin</v>
          </cell>
          <cell r="C498" t="str">
            <v>SCOM-SHD</v>
          </cell>
          <cell r="D498">
            <v>7.0758476717723889E-6</v>
          </cell>
          <cell r="E498">
            <v>6.5943838882331251E-5</v>
          </cell>
          <cell r="F498">
            <v>3.0005986855006579E-5</v>
          </cell>
          <cell r="G498">
            <v>1.3977659175207967E-5</v>
          </cell>
          <cell r="H498">
            <v>1.3358926660422246E-5</v>
          </cell>
          <cell r="I498">
            <v>1.8524090493279446E-5</v>
          </cell>
          <cell r="J498">
            <v>4.8261152106020532E-4</v>
          </cell>
        </row>
        <row r="499">
          <cell r="A499" t="str">
            <v>SCOM-SHSTG</v>
          </cell>
          <cell r="B499" t="str">
            <v>VAR_ncap</v>
          </cell>
          <cell r="C499" t="str">
            <v>-</v>
          </cell>
          <cell r="D499">
            <v>1.9745807923671701E-4</v>
          </cell>
          <cell r="E499">
            <v>8.9914616062818001E-7</v>
          </cell>
          <cell r="F499">
            <v>1.0308914234518801E-6</v>
          </cell>
          <cell r="G499">
            <v>6.35019023984515E-7</v>
          </cell>
          <cell r="H499">
            <v>3.9353971619697101E-5</v>
          </cell>
          <cell r="I499">
            <v>9.7432169017099305E-5</v>
          </cell>
          <cell r="J499">
            <v>9.7704163312610002E-5</v>
          </cell>
        </row>
        <row r="500">
          <cell r="A500" t="str">
            <v>SCOM-SHSTG</v>
          </cell>
          <cell r="B500" t="str">
            <v>VAR_cap</v>
          </cell>
          <cell r="C500" t="str">
            <v>-</v>
          </cell>
          <cell r="D500">
            <v>1.9745807923671701E-4</v>
          </cell>
          <cell r="E500">
            <v>1.9797366085397251E-4</v>
          </cell>
          <cell r="F500">
            <v>1.985913107832621E-4</v>
          </cell>
          <cell r="G500">
            <v>1.9865963525231579E-4</v>
          </cell>
          <cell r="H500">
            <v>2.3709032651324217E-4</v>
          </cell>
          <cell r="I500">
            <v>2.0547794459838497E-4</v>
          </cell>
          <cell r="J500">
            <v>2.2530926948530696E-4</v>
          </cell>
        </row>
        <row r="501">
          <cell r="A501" t="str">
            <v>D-RNGA</v>
          </cell>
          <cell r="B501" t="str">
            <v>VAR_fout</v>
          </cell>
          <cell r="C501" t="str">
            <v>CO2</v>
          </cell>
          <cell r="D501">
            <v>2650.5234539707799</v>
          </cell>
          <cell r="E501">
            <v>2560.5947498866699</v>
          </cell>
          <cell r="F501">
            <v>2694.9222181602699</v>
          </cell>
          <cell r="G501">
            <v>2464.8626803311599</v>
          </cell>
          <cell r="H501">
            <v>2155.2976247033398</v>
          </cell>
          <cell r="I501">
            <v>1854.74099465737</v>
          </cell>
          <cell r="J501">
            <v>1349.0222798735199</v>
          </cell>
        </row>
        <row r="502">
          <cell r="A502" t="str">
            <v>D-RNGA</v>
          </cell>
          <cell r="B502" t="str">
            <v>VAR_fout</v>
          </cell>
          <cell r="C502" t="str">
            <v>RNGA</v>
          </cell>
          <cell r="D502">
            <v>47.156834148818611</v>
          </cell>
          <cell r="E502">
            <v>47.60360786550536</v>
          </cell>
          <cell r="F502">
            <v>48.158844776495272</v>
          </cell>
          <cell r="G502">
            <v>43.564764849730594</v>
          </cell>
          <cell r="H502">
            <v>38.093495712348371</v>
          </cell>
          <cell r="I502">
            <v>32.780803682091928</v>
          </cell>
          <cell r="J502">
            <v>23.842695275017249</v>
          </cell>
        </row>
        <row r="503">
          <cell r="A503" t="str">
            <v>D-RNGA</v>
          </cell>
          <cell r="B503" t="str">
            <v>VAR_fin</v>
          </cell>
          <cell r="C503" t="str">
            <v>NGA</v>
          </cell>
          <cell r="D503">
            <v>46.995096701609548</v>
          </cell>
          <cell r="E503">
            <v>45.400616132742293</v>
          </cell>
          <cell r="F503">
            <v>47.782308832628871</v>
          </cell>
          <cell r="G503">
            <v>43.703239012963891</v>
          </cell>
          <cell r="H503">
            <v>38.214496891903195</v>
          </cell>
          <cell r="I503">
            <v>32.885478628676886</v>
          </cell>
          <cell r="J503">
            <v>23.918834749530458</v>
          </cell>
        </row>
        <row r="504">
          <cell r="A504" t="str">
            <v>D-RNGA</v>
          </cell>
          <cell r="B504" t="str">
            <v>VAR_fin</v>
          </cell>
          <cell r="C504" t="str">
            <v>BNGA</v>
          </cell>
          <cell r="D504">
            <v>0.31238559329190579</v>
          </cell>
          <cell r="E504">
            <v>2.3550671509126579</v>
          </cell>
          <cell r="F504">
            <v>0.53038513272785937</v>
          </cell>
          <cell r="G504">
            <v>6.9868790494325697E-4</v>
          </cell>
          <cell r="H504">
            <v>6.9304802560633664E-4</v>
          </cell>
          <cell r="I504">
            <v>4.7250970291199231E-5</v>
          </cell>
          <cell r="J504">
            <v>2.8866844573714338E-5</v>
          </cell>
        </row>
        <row r="505">
          <cell r="A505" t="str">
            <v>D-RNGA</v>
          </cell>
          <cell r="B505" t="str">
            <v>VAR_ncap</v>
          </cell>
          <cell r="C505" t="str">
            <v>-</v>
          </cell>
          <cell r="D505">
            <v>3.5259530789771497E-8</v>
          </cell>
          <cell r="E505">
            <v>1.86958403953388E-8</v>
          </cell>
          <cell r="F505">
            <v>2.39019882737386E-8</v>
          </cell>
          <cell r="G505">
            <v>2.3304964486187301E-8</v>
          </cell>
          <cell r="H505">
            <v>3.52688398041258E-8</v>
          </cell>
          <cell r="I505">
            <v>4.6438418133679801E-8</v>
          </cell>
          <cell r="J505">
            <v>7.9982456398227995E-8</v>
          </cell>
        </row>
        <row r="506">
          <cell r="A506" t="str">
            <v>D-RNGA</v>
          </cell>
          <cell r="B506" t="str">
            <v>VAR_cap</v>
          </cell>
          <cell r="C506" t="str">
            <v>-</v>
          </cell>
          <cell r="D506">
            <v>3.0972400426554509</v>
          </cell>
          <cell r="E506">
            <v>3.0972400613512914</v>
          </cell>
          <cell r="F506">
            <v>3.0972400852532798</v>
          </cell>
          <cell r="G506">
            <v>3.0972401085582439</v>
          </cell>
          <cell r="H506">
            <v>3.0972401438270838</v>
          </cell>
          <cell r="I506">
            <v>3.0972401902655018</v>
          </cell>
          <cell r="J506">
            <v>1.5532825108882584</v>
          </cell>
        </row>
        <row r="507">
          <cell r="A507" t="str">
            <v>RHNS-SHLTHCHPNGA</v>
          </cell>
          <cell r="B507" t="str">
            <v>VAR_fout</v>
          </cell>
          <cell r="C507" t="str">
            <v>RHNS-SHLTHC-NGA</v>
          </cell>
          <cell r="E507">
            <v>8.6108383343823727E-4</v>
          </cell>
        </row>
        <row r="508">
          <cell r="A508" t="str">
            <v>RHNS-SHLTHCHPNGA</v>
          </cell>
          <cell r="B508" t="str">
            <v>VAR_fin</v>
          </cell>
          <cell r="C508" t="str">
            <v>RHNSLTHCHPC</v>
          </cell>
          <cell r="E508">
            <v>8.6108383343823727E-4</v>
          </cell>
        </row>
        <row r="509">
          <cell r="A509" t="str">
            <v>RHNS-SHLTHCHPNGA</v>
          </cell>
          <cell r="B509" t="str">
            <v>VAR_fin</v>
          </cell>
          <cell r="C509" t="str">
            <v>RHNS_LTH_CHPNGA_ON</v>
          </cell>
          <cell r="E509">
            <v>8.697816499376133E-4</v>
          </cell>
        </row>
        <row r="510">
          <cell r="A510" t="str">
            <v>RHNS-SHLTHCHPNGA</v>
          </cell>
          <cell r="B510" t="str">
            <v>VAR_ncap</v>
          </cell>
          <cell r="C510" t="str">
            <v>-</v>
          </cell>
          <cell r="E510">
            <v>8.6072134666157496E-5</v>
          </cell>
          <cell r="F510">
            <v>4.6568949609773497E-5</v>
          </cell>
          <cell r="G510">
            <v>3.8571025784941599E-5</v>
          </cell>
          <cell r="H510">
            <v>3.9413851551269498E-5</v>
          </cell>
          <cell r="I510">
            <v>1.60810077549457E-5</v>
          </cell>
          <cell r="J510">
            <v>1.1843401444206501E-6</v>
          </cell>
        </row>
        <row r="511">
          <cell r="A511" t="str">
            <v>RHNS-SHLTHCHPNGA</v>
          </cell>
          <cell r="B511" t="str">
            <v>VAR_cap</v>
          </cell>
          <cell r="C511" t="str">
            <v>-</v>
          </cell>
          <cell r="E511">
            <v>8.6072134666157496E-5</v>
          </cell>
          <cell r="F511">
            <v>7.1324120486475001E-5</v>
          </cell>
          <cell r="G511">
            <v>7.1031335830198006E-5</v>
          </cell>
          <cell r="H511">
            <v>6.9433302620213391E-5</v>
          </cell>
          <cell r="I511">
            <v>3.2819622122152207E-5</v>
          </cell>
          <cell r="J511">
            <v>2.8820998244383007E-6</v>
          </cell>
        </row>
        <row r="512">
          <cell r="A512" t="str">
            <v>D-SCOM_KEV_BIO_ELC_CHP</v>
          </cell>
          <cell r="B512" t="str">
            <v>VAR_fout</v>
          </cell>
          <cell r="C512" t="str">
            <v>ELC5</v>
          </cell>
          <cell r="D512">
            <v>0.95929086591655333</v>
          </cell>
          <cell r="E512">
            <v>1.1059162088170702</v>
          </cell>
          <cell r="F512">
            <v>1.1059086116188221</v>
          </cell>
          <cell r="G512">
            <v>1.1057867937021093</v>
          </cell>
          <cell r="H512">
            <v>3.8667285441732673E-4</v>
          </cell>
          <cell r="I512">
            <v>2.9469475634002622E-4</v>
          </cell>
          <cell r="J512">
            <v>1.7348791038645297E-4</v>
          </cell>
        </row>
        <row r="513">
          <cell r="A513" t="str">
            <v>D-SCOM_KEV_BIO_ELC_CHP</v>
          </cell>
          <cell r="B513" t="str">
            <v>VAR_fout</v>
          </cell>
          <cell r="C513" t="str">
            <v>SCOM_ELC</v>
          </cell>
          <cell r="D513">
            <v>7.6778860080601062E-5</v>
          </cell>
          <cell r="E513">
            <v>2.8598739400722398E-5</v>
          </cell>
          <cell r="F513">
            <v>3.6479878524916559E-5</v>
          </cell>
          <cell r="G513">
            <v>1.595313032286036E-4</v>
          </cell>
          <cell r="H513">
            <v>1.105562319659924</v>
          </cell>
          <cell r="I513">
            <v>1.1056546043777151</v>
          </cell>
          <cell r="J513">
            <v>1.1057760827668908</v>
          </cell>
        </row>
        <row r="514">
          <cell r="A514" t="str">
            <v>D-SCOM_KEV_BIO_ELC_CHP</v>
          </cell>
          <cell r="B514" t="str">
            <v>VAR_fin</v>
          </cell>
          <cell r="C514" t="str">
            <v>SCOM_KEV_BIO_ELC_CHP</v>
          </cell>
          <cell r="D514">
            <v>0.9593676447766335</v>
          </cell>
          <cell r="E514">
            <v>1.1059448075564708</v>
          </cell>
          <cell r="F514">
            <v>1.1059444382561738</v>
          </cell>
          <cell r="G514">
            <v>1.1059445509953427</v>
          </cell>
          <cell r="H514">
            <v>1.1059446424257702</v>
          </cell>
          <cell r="I514">
            <v>1.1059444188891432</v>
          </cell>
          <cell r="J514">
            <v>1.1059441733469439</v>
          </cell>
        </row>
        <row r="515">
          <cell r="A515" t="str">
            <v>RHES-SHLTHCHPWOD</v>
          </cell>
          <cell r="B515" t="str">
            <v>VAR_ncap</v>
          </cell>
          <cell r="C515" t="str">
            <v>-</v>
          </cell>
          <cell r="G515">
            <v>1.4295065381506999E-6</v>
          </cell>
          <cell r="H515">
            <v>2.25423287232817E-6</v>
          </cell>
          <cell r="I515">
            <v>1.38163430299661E-6</v>
          </cell>
          <cell r="J515">
            <v>7.0594683473624903E-7</v>
          </cell>
        </row>
        <row r="516">
          <cell r="A516" t="str">
            <v>RHES-SHLTHCHPWOD</v>
          </cell>
          <cell r="B516" t="str">
            <v>VAR_cap</v>
          </cell>
          <cell r="C516" t="str">
            <v>-</v>
          </cell>
          <cell r="G516">
            <v>1.4295065381506999E-6</v>
          </cell>
          <cell r="H516">
            <v>2.9295152035138549E-6</v>
          </cell>
          <cell r="I516">
            <v>2.4848807229745701E-6</v>
          </cell>
          <cell r="J516">
            <v>1.2026015841768498E-6</v>
          </cell>
        </row>
        <row r="517">
          <cell r="A517" t="str">
            <v>RHES-SHSTG-NGAHP</v>
          </cell>
          <cell r="B517" t="str">
            <v>VAR_fout</v>
          </cell>
          <cell r="C517" t="str">
            <v>RHES-SHANGAH</v>
          </cell>
          <cell r="F517">
            <v>0.14614395769732338</v>
          </cell>
          <cell r="G517">
            <v>0.34975124196527446</v>
          </cell>
          <cell r="H517">
            <v>0.47349367456036701</v>
          </cell>
          <cell r="I517">
            <v>0.51548736632614789</v>
          </cell>
          <cell r="J517">
            <v>0.60381668267856825</v>
          </cell>
        </row>
        <row r="518">
          <cell r="A518" t="str">
            <v>RHES-SHSTG-NGAHP</v>
          </cell>
          <cell r="B518" t="str">
            <v>VAR_fout</v>
          </cell>
          <cell r="C518" t="str">
            <v>AUX_RHES-SHSTG-NGAHP_OUT</v>
          </cell>
          <cell r="F518">
            <v>0.14629010165502071</v>
          </cell>
          <cell r="G518">
            <v>0.35010099320723942</v>
          </cell>
          <cell r="H518">
            <v>0.47396716823492729</v>
          </cell>
          <cell r="I518">
            <v>0.51600285369247378</v>
          </cell>
          <cell r="J518">
            <v>0.60442049936124698</v>
          </cell>
        </row>
        <row r="519">
          <cell r="A519" t="str">
            <v>RHES-SHSTG-NGAHP</v>
          </cell>
          <cell r="B519" t="str">
            <v>VAR_fin</v>
          </cell>
          <cell r="C519" t="str">
            <v>RHES-SHANGAH</v>
          </cell>
          <cell r="F519">
            <v>0.14615751413095412</v>
          </cell>
          <cell r="G519">
            <v>0.34976100930748866</v>
          </cell>
          <cell r="H519">
            <v>0.47350085796201563</v>
          </cell>
          <cell r="I519">
            <v>0.51549360357423457</v>
          </cell>
          <cell r="J519">
            <v>0.60382269270221955</v>
          </cell>
        </row>
        <row r="520">
          <cell r="A520" t="str">
            <v>RHES-SHSTG-NGAHP</v>
          </cell>
          <cell r="B520" t="str">
            <v>VAR_ncap</v>
          </cell>
          <cell r="C520" t="str">
            <v>-</v>
          </cell>
          <cell r="D520">
            <v>2.3644668982803099E-6</v>
          </cell>
          <cell r="E520">
            <v>3.4136565288808201E-6</v>
          </cell>
          <cell r="F520">
            <v>2.87509656383786E-2</v>
          </cell>
          <cell r="G520">
            <v>2.7250791052803199E-2</v>
          </cell>
          <cell r="H520">
            <v>1.84352660176803E-2</v>
          </cell>
          <cell r="I520">
            <v>4.4532009677254597E-2</v>
          </cell>
          <cell r="J520">
            <v>6.8656756794689799E-2</v>
          </cell>
        </row>
        <row r="521">
          <cell r="A521" t="str">
            <v>RHES-SHSTG-NGAHP</v>
          </cell>
          <cell r="B521" t="str">
            <v>VAR_cap</v>
          </cell>
          <cell r="C521" t="str">
            <v>-</v>
          </cell>
          <cell r="D521">
            <v>2.3644668982803099E-6</v>
          </cell>
          <cell r="E521">
            <v>3.3998717749461948E-7</v>
          </cell>
          <cell r="F521">
            <v>2.8750226013107436E-2</v>
          </cell>
          <cell r="G521">
            <v>5.6001072410247148E-2</v>
          </cell>
          <cell r="H521">
            <v>7.4425054588264594E-2</v>
          </cell>
          <cell r="I521">
            <v>8.6656084568362685E-2</v>
          </cell>
          <cell r="J521">
            <v>0.10876270737769229</v>
          </cell>
        </row>
        <row r="522">
          <cell r="A522" t="str">
            <v>D-RHNS_SOLELC</v>
          </cell>
          <cell r="B522" t="str">
            <v>VAR_fout</v>
          </cell>
          <cell r="C522" t="str">
            <v>RHNS_ELC</v>
          </cell>
          <cell r="E522">
            <v>6.1671383563867396E-6</v>
          </cell>
          <cell r="F522">
            <v>3.2725821233669904E-4</v>
          </cell>
          <cell r="G522">
            <v>4.2855912947057035E-4</v>
          </cell>
          <cell r="H522">
            <v>3.9309704392432221E-4</v>
          </cell>
          <cell r="I522">
            <v>4.444617191487089E-4</v>
          </cell>
          <cell r="J522">
            <v>5.3085225275203399E-4</v>
          </cell>
        </row>
        <row r="523">
          <cell r="A523" t="str">
            <v>D-RHNS_SOLELC</v>
          </cell>
          <cell r="B523" t="str">
            <v>VAR_fout</v>
          </cell>
          <cell r="C523" t="str">
            <v>ELC5</v>
          </cell>
          <cell r="E523">
            <v>5.8505115538473074E-6</v>
          </cell>
          <cell r="F523">
            <v>1.0567094713286013E-4</v>
          </cell>
          <cell r="G523">
            <v>7.890430712218382E-5</v>
          </cell>
          <cell r="H523">
            <v>1.1493842046331915E-4</v>
          </cell>
          <cell r="I523">
            <v>1.041585704817778E-4</v>
          </cell>
          <cell r="J523">
            <v>7.8219824228910131E-5</v>
          </cell>
        </row>
        <row r="524">
          <cell r="A524" t="str">
            <v>D-RHNS_SOLELC</v>
          </cell>
          <cell r="B524" t="str">
            <v>VAR_fin</v>
          </cell>
          <cell r="C524" t="str">
            <v>RHNS_SOL_ELC</v>
          </cell>
          <cell r="E524">
            <v>1.1743281137920633E-5</v>
          </cell>
          <cell r="F524">
            <v>4.3299670544525852E-4</v>
          </cell>
          <cell r="G524">
            <v>5.0753796828204804E-4</v>
          </cell>
          <cell r="H524">
            <v>5.0810046271069955E-4</v>
          </cell>
          <cell r="I524">
            <v>5.4869019995097549E-4</v>
          </cell>
          <cell r="J524">
            <v>6.0911018514317461E-4</v>
          </cell>
        </row>
        <row r="525">
          <cell r="A525" t="str">
            <v>D-IHFO</v>
          </cell>
          <cell r="B525" t="str">
            <v>VAR_fout</v>
          </cell>
          <cell r="C525" t="str">
            <v>CO2</v>
          </cell>
          <cell r="D525">
            <v>213.78071862107299</v>
          </cell>
          <cell r="E525">
            <v>212.85953981613699</v>
          </cell>
          <cell r="F525">
            <v>9.1431588964333593E-2</v>
          </cell>
          <cell r="G525">
            <v>1.6727374797476099E-2</v>
          </cell>
          <cell r="H525">
            <v>3.1068996907374798E-2</v>
          </cell>
          <cell r="I525">
            <v>1.8987972150096202E-2</v>
          </cell>
        </row>
        <row r="526">
          <cell r="A526" t="str">
            <v>D-IHFO</v>
          </cell>
          <cell r="B526" t="str">
            <v>VAR_fout</v>
          </cell>
          <cell r="C526" t="str">
            <v>IHFO</v>
          </cell>
          <cell r="D526">
            <v>2.7300043049484755</v>
          </cell>
          <cell r="E526">
            <v>2.7182407459178735</v>
          </cell>
          <cell r="F526">
            <v>1.1675918814892839E-3</v>
          </cell>
          <cell r="G526">
            <v>2.1361049538120043E-4</v>
          </cell>
          <cell r="H526">
            <v>3.9675465521240557E-4</v>
          </cell>
          <cell r="I526">
            <v>2.4247858294407744E-4</v>
          </cell>
        </row>
        <row r="527">
          <cell r="A527" t="str">
            <v>D-IHFO</v>
          </cell>
          <cell r="B527" t="str">
            <v>VAR_fin</v>
          </cell>
          <cell r="C527" t="str">
            <v>HFO</v>
          </cell>
          <cell r="D527">
            <v>2.7763729691048495</v>
          </cell>
          <cell r="E527">
            <v>2.7644096080017775</v>
          </cell>
          <cell r="F527">
            <v>1.1874232333030327E-3</v>
          </cell>
          <cell r="G527">
            <v>2.1723863373345604E-4</v>
          </cell>
          <cell r="H527">
            <v>4.0349346632954344E-4</v>
          </cell>
          <cell r="I527">
            <v>2.465970409103402E-4</v>
          </cell>
        </row>
        <row r="528">
          <cell r="A528" t="str">
            <v>RHEM-SHCONBR</v>
          </cell>
          <cell r="B528" t="str">
            <v>VAR_fout</v>
          </cell>
          <cell r="C528" t="str">
            <v>RHEM-SHCON</v>
          </cell>
          <cell r="F528">
            <v>3.7193908603554443E-5</v>
          </cell>
          <cell r="G528">
            <v>3.3121715945525606E-5</v>
          </cell>
          <cell r="H528">
            <v>8.398887697532642E-5</v>
          </cell>
          <cell r="I528">
            <v>8.5995878816203883E-5</v>
          </cell>
          <cell r="J528">
            <v>1.0219925406050183E-4</v>
          </cell>
        </row>
        <row r="529">
          <cell r="A529" t="str">
            <v>RHEM-SHCONBR</v>
          </cell>
          <cell r="B529" t="str">
            <v>VAR_fin</v>
          </cell>
          <cell r="C529" t="str">
            <v>CON</v>
          </cell>
          <cell r="F529">
            <v>3.7193908603554443E-5</v>
          </cell>
          <cell r="G529">
            <v>3.3121715945525606E-5</v>
          </cell>
          <cell r="H529">
            <v>8.398887697532642E-5</v>
          </cell>
          <cell r="I529">
            <v>8.5995878816203883E-5</v>
          </cell>
          <cell r="J529">
            <v>1.0219925406050183E-4</v>
          </cell>
        </row>
        <row r="530">
          <cell r="A530" t="str">
            <v>RHEM-SHCONBR</v>
          </cell>
          <cell r="B530" t="str">
            <v>VAR_ncap</v>
          </cell>
          <cell r="C530" t="str">
            <v>-</v>
          </cell>
          <cell r="F530">
            <v>1.5641935454406699E-6</v>
          </cell>
          <cell r="G530">
            <v>4.4500347297784203E-8</v>
          </cell>
          <cell r="H530">
            <v>3.3681585665303299E-6</v>
          </cell>
          <cell r="I530">
            <v>3.2379426884361299E-7</v>
          </cell>
          <cell r="J530">
            <v>1.2134109686739399E-6</v>
          </cell>
        </row>
        <row r="531">
          <cell r="A531" t="str">
            <v>RHEM-SHCONBR</v>
          </cell>
          <cell r="B531" t="str">
            <v>VAR_cap</v>
          </cell>
          <cell r="C531" t="str">
            <v>-</v>
          </cell>
          <cell r="E531">
            <v>-1.9688507305541899E-7</v>
          </cell>
          <cell r="F531">
            <v>1.5641935454406699E-6</v>
          </cell>
          <cell r="G531">
            <v>1.6086938927384601E-6</v>
          </cell>
          <cell r="H531">
            <v>4.97685245926879E-6</v>
          </cell>
          <cell r="I531">
            <v>5.3006467281124002E-6</v>
          </cell>
          <cell r="J531">
            <v>6.5140576967863404E-6</v>
          </cell>
        </row>
        <row r="532">
          <cell r="A532" t="str">
            <v>RHEM-SHSOLBR</v>
          </cell>
          <cell r="B532" t="str">
            <v>VAR_fout</v>
          </cell>
          <cell r="C532" t="str">
            <v>RHEM-SHASOL</v>
          </cell>
          <cell r="D532">
            <v>0.40801330785858975</v>
          </cell>
          <cell r="E532">
            <v>0.470877722001245</v>
          </cell>
          <cell r="F532">
            <v>9.0771482772824472E-3</v>
          </cell>
          <cell r="G532">
            <v>1.1272956089239526E-2</v>
          </cell>
          <cell r="H532">
            <v>1.2620481548410473E-2</v>
          </cell>
          <cell r="I532">
            <v>1.2954760433950952E-2</v>
          </cell>
          <cell r="J532">
            <v>1.3160828954294823E-2</v>
          </cell>
        </row>
        <row r="533">
          <cell r="A533" t="str">
            <v>RHEM-SHSOLBR</v>
          </cell>
          <cell r="B533" t="str">
            <v>VAR_fin</v>
          </cell>
          <cell r="C533" t="str">
            <v>SOL</v>
          </cell>
          <cell r="D533">
            <v>0.40801330785858975</v>
          </cell>
          <cell r="E533">
            <v>0.470877722001245</v>
          </cell>
          <cell r="F533">
            <v>9.0771482772824472E-3</v>
          </cell>
          <cell r="G533">
            <v>1.1272956089239526E-2</v>
          </cell>
          <cell r="H533">
            <v>1.2620481548410473E-2</v>
          </cell>
          <cell r="I533">
            <v>1.2954760433950952E-2</v>
          </cell>
          <cell r="J533">
            <v>1.3160828954294823E-2</v>
          </cell>
        </row>
        <row r="534">
          <cell r="A534" t="str">
            <v>RHEM-SHSOLBR</v>
          </cell>
          <cell r="B534" t="str">
            <v>VAR_ncap</v>
          </cell>
          <cell r="C534" t="str">
            <v>-</v>
          </cell>
          <cell r="D534">
            <v>5.5629291427183904E-6</v>
          </cell>
          <cell r="E534">
            <v>9.1250782141903096E-3</v>
          </cell>
          <cell r="F534">
            <v>3.5299218222324298E-8</v>
          </cell>
          <cell r="G534">
            <v>5.6077575216897002E-8</v>
          </cell>
          <cell r="H534">
            <v>1.78147890534589E-7</v>
          </cell>
          <cell r="I534">
            <v>1.8913780690151701E-3</v>
          </cell>
          <cell r="J534">
            <v>5.4451635387269405E-4</v>
          </cell>
        </row>
        <row r="535">
          <cell r="A535" t="str">
            <v>RHEM-SHSOLBR</v>
          </cell>
          <cell r="B535" t="str">
            <v>VAR_cap</v>
          </cell>
          <cell r="C535" t="str">
            <v>-</v>
          </cell>
          <cell r="D535">
            <v>5.9260484346181024E-2</v>
          </cell>
          <cell r="E535">
            <v>6.8385548803774815E-2</v>
          </cell>
          <cell r="F535">
            <v>6.8385012594705419E-2</v>
          </cell>
          <cell r="G535">
            <v>6.8384887605260777E-2</v>
          </cell>
          <cell r="H535">
            <v>1.8287749935569947E-2</v>
          </cell>
          <cell r="I535">
            <v>1.8914820420161463E-3</v>
          </cell>
          <cell r="J535">
            <v>1.9171756178249636E-3</v>
          </cell>
        </row>
        <row r="536">
          <cell r="A536" t="str">
            <v>SCOM-SHH2BR</v>
          </cell>
          <cell r="B536" t="str">
            <v>VAR_ncap</v>
          </cell>
          <cell r="C536" t="str">
            <v>-</v>
          </cell>
          <cell r="G536">
            <v>1.7699554431450301E-7</v>
          </cell>
          <cell r="H536">
            <v>0.759099614957774</v>
          </cell>
          <cell r="I536">
            <v>5.6510095041000602E-2</v>
          </cell>
          <cell r="J536">
            <v>0.58387623131436595</v>
          </cell>
        </row>
        <row r="537">
          <cell r="A537" t="str">
            <v>SCOM-SHH2BR</v>
          </cell>
          <cell r="B537" t="str">
            <v>VAR_cap</v>
          </cell>
          <cell r="C537" t="str">
            <v>-</v>
          </cell>
          <cell r="G537">
            <v>1.7699554431450301E-7</v>
          </cell>
          <cell r="H537">
            <v>0.75909955201509294</v>
          </cell>
          <cell r="I537">
            <v>0.81560947205402445</v>
          </cell>
          <cell r="J537">
            <v>0.94598231074380212</v>
          </cell>
        </row>
        <row r="538">
          <cell r="A538" t="str">
            <v>ITOT-SWHCONBR1</v>
          </cell>
          <cell r="B538" t="str">
            <v>VAR_fout</v>
          </cell>
          <cell r="C538" t="str">
            <v>ITOT-ELS</v>
          </cell>
          <cell r="E538">
            <v>0.3198797319489593</v>
          </cell>
          <cell r="F538">
            <v>0.31987956688650837</v>
          </cell>
          <cell r="G538">
            <v>0.31989582970449393</v>
          </cell>
          <cell r="H538">
            <v>0.65657830667377537</v>
          </cell>
          <cell r="I538">
            <v>0.97003972147978401</v>
          </cell>
          <cell r="J538">
            <v>0.97004368050211776</v>
          </cell>
        </row>
        <row r="539">
          <cell r="A539" t="str">
            <v>ITOT-SWHCONBR1</v>
          </cell>
          <cell r="B539" t="str">
            <v>VAR_fout</v>
          </cell>
          <cell r="C539" t="str">
            <v>ITOT-SWHC</v>
          </cell>
          <cell r="E539">
            <v>1.5206604623210096</v>
          </cell>
          <cell r="F539">
            <v>1.5206596776387744</v>
          </cell>
          <cell r="G539">
            <v>1.5207369886461541</v>
          </cell>
          <cell r="H539">
            <v>3.1212751908139058</v>
          </cell>
          <cell r="I539">
            <v>4.6114239322001254</v>
          </cell>
          <cell r="J539">
            <v>4.611442752800909</v>
          </cell>
        </row>
        <row r="540">
          <cell r="A540" t="str">
            <v>ITOT-SWHCONBR1</v>
          </cell>
          <cell r="B540" t="str">
            <v>VAR_fin</v>
          </cell>
          <cell r="C540" t="str">
            <v>CON</v>
          </cell>
          <cell r="E540">
            <v>1.8405401942699673</v>
          </cell>
          <cell r="F540">
            <v>1.8405392445252835</v>
          </cell>
          <cell r="G540">
            <v>1.8406328183506471</v>
          </cell>
          <cell r="H540">
            <v>3.7778534974876825</v>
          </cell>
          <cell r="I540">
            <v>5.5814636536799105</v>
          </cell>
          <cell r="J540">
            <v>5.5814864333030227</v>
          </cell>
        </row>
        <row r="541">
          <cell r="A541" t="str">
            <v>ITOT-SWHCONBR1</v>
          </cell>
          <cell r="B541" t="str">
            <v>VAR_ncap</v>
          </cell>
          <cell r="C541" t="str">
            <v>-</v>
          </cell>
          <cell r="E541">
            <v>0.100095507044861</v>
          </cell>
          <cell r="F541">
            <v>3.7036874796745902E-7</v>
          </cell>
          <cell r="G541">
            <v>4.2149880636458803E-6</v>
          </cell>
          <cell r="H541">
            <v>0.15416570596106699</v>
          </cell>
          <cell r="I541">
            <v>0.149369727686606</v>
          </cell>
          <cell r="J541">
            <v>0.129924466051698</v>
          </cell>
        </row>
        <row r="542">
          <cell r="A542" t="str">
            <v>ITOT-SWHCONBR1</v>
          </cell>
          <cell r="B542" t="str">
            <v>VAR_cap</v>
          </cell>
          <cell r="C542" t="str">
            <v>-</v>
          </cell>
          <cell r="E542">
            <v>0.100095507044861</v>
          </cell>
          <cell r="F542">
            <v>0.10009587741360899</v>
          </cell>
          <cell r="G542">
            <v>0.100100092401672</v>
          </cell>
          <cell r="H542">
            <v>0.20545360364419099</v>
          </cell>
          <cell r="I542">
            <v>0.30353837802724098</v>
          </cell>
          <cell r="J542">
            <v>0.30353835392816603</v>
          </cell>
        </row>
        <row r="543">
          <cell r="A543" t="str">
            <v>SCOM-SHLTHCHPWOD</v>
          </cell>
          <cell r="B543" t="str">
            <v>VAR_ncap</v>
          </cell>
          <cell r="C543" t="str">
            <v>-</v>
          </cell>
          <cell r="G543">
            <v>4.44122369353594E-6</v>
          </cell>
          <cell r="H543">
            <v>6.7255948769434203E-6</v>
          </cell>
          <cell r="I543">
            <v>4.5822929552683596E-6</v>
          </cell>
          <cell r="J543">
            <v>2.1217845482773101E-6</v>
          </cell>
        </row>
        <row r="544">
          <cell r="A544" t="str">
            <v>SCOM-SHLTHCHPWOD</v>
          </cell>
          <cell r="B544" t="str">
            <v>VAR_cap</v>
          </cell>
          <cell r="C544" t="str">
            <v>-</v>
          </cell>
          <cell r="G544">
            <v>4.44122369353594E-6</v>
          </cell>
          <cell r="H544">
            <v>8.2988694009281086E-6</v>
          </cell>
          <cell r="I544">
            <v>6.8643054054545506E-6</v>
          </cell>
          <cell r="J544">
            <v>3.3937359565371305E-6</v>
          </cell>
        </row>
        <row r="545">
          <cell r="A545" t="str">
            <v>SCOM-SHSTG-NGAHP</v>
          </cell>
          <cell r="B545" t="str">
            <v>VAR_fout</v>
          </cell>
          <cell r="C545" t="str">
            <v>SCOM-SHANGAH</v>
          </cell>
          <cell r="D545">
            <v>3.560667264176676E-5</v>
          </cell>
          <cell r="E545">
            <v>4.8201371575125976E-5</v>
          </cell>
          <cell r="F545">
            <v>1.7730406024309939E-5</v>
          </cell>
          <cell r="G545">
            <v>8.3183093953949909E-6</v>
          </cell>
          <cell r="H545">
            <v>7.3676623234741619E-6</v>
          </cell>
          <cell r="I545">
            <v>6.4807406807626717E-6</v>
          </cell>
          <cell r="J545">
            <v>2.6535301127867277E-7</v>
          </cell>
        </row>
        <row r="546">
          <cell r="A546" t="str">
            <v>SCOM-SHSTG-NGAHP</v>
          </cell>
          <cell r="B546" t="str">
            <v>VAR_fin</v>
          </cell>
          <cell r="C546" t="str">
            <v>SCOM-SHANGAH</v>
          </cell>
          <cell r="D546">
            <v>3.560667264176676E-5</v>
          </cell>
          <cell r="E546">
            <v>4.8201371575125976E-5</v>
          </cell>
          <cell r="F546">
            <v>1.9847963850629774E-5</v>
          </cell>
          <cell r="G546">
            <v>8.3251217094415778E-6</v>
          </cell>
          <cell r="H546">
            <v>7.2390849367906174E-6</v>
          </cell>
          <cell r="I546">
            <v>7.5621605143223891E-6</v>
          </cell>
        </row>
        <row r="547">
          <cell r="A547" t="str">
            <v>SCOM-SHSTG-NGAHP</v>
          </cell>
          <cell r="B547" t="str">
            <v>VAR_ncap</v>
          </cell>
          <cell r="C547" t="str">
            <v>-</v>
          </cell>
          <cell r="D547">
            <v>3.3806152106179301E-4</v>
          </cell>
          <cell r="E547">
            <v>2.17292538346169E-6</v>
          </cell>
          <cell r="F547">
            <v>3.1315425509498597E-2</v>
          </cell>
          <cell r="G547">
            <v>3.1502852085884797E-2</v>
          </cell>
          <cell r="H547">
            <v>2.4674327951297301E-2</v>
          </cell>
          <cell r="I547">
            <v>5.8012902744170702E-2</v>
          </cell>
          <cell r="J547">
            <v>0.105623946968618</v>
          </cell>
        </row>
        <row r="548">
          <cell r="A548" t="str">
            <v>SCOM-SHSTG-NGAHP</v>
          </cell>
          <cell r="B548" t="str">
            <v>VAR_cap</v>
          </cell>
          <cell r="C548" t="str">
            <v>-</v>
          </cell>
          <cell r="D548">
            <v>3.3806152106179301E-4</v>
          </cell>
          <cell r="E548">
            <v>2.9519127292179496E-6</v>
          </cell>
          <cell r="F548">
            <v>3.1317314884954733E-2</v>
          </cell>
          <cell r="G548">
            <v>6.2816969832034081E-2</v>
          </cell>
          <cell r="H548">
            <v>8.7475242582308099E-2</v>
          </cell>
          <cell r="I548">
            <v>0.1097233502544112</v>
          </cell>
          <cell r="J548">
            <v>0.15814550431919258</v>
          </cell>
        </row>
        <row r="549">
          <cell r="A549" t="str">
            <v>ITOT-SWHCONBR2</v>
          </cell>
          <cell r="B549" t="str">
            <v>VAR_fout</v>
          </cell>
          <cell r="C549" t="str">
            <v>ITOT-ELS</v>
          </cell>
          <cell r="G549">
            <v>2.0757580652921472E-4</v>
          </cell>
          <cell r="H549">
            <v>3.0592905907734401E-4</v>
          </cell>
          <cell r="I549">
            <v>0.88014049489985446</v>
          </cell>
          <cell r="J549">
            <v>0.88014294308718732</v>
          </cell>
        </row>
        <row r="550">
          <cell r="A550" t="str">
            <v>ITOT-SWHCONBR2</v>
          </cell>
          <cell r="B550" t="str">
            <v>VAR_fout</v>
          </cell>
          <cell r="C550" t="str">
            <v>ITOT-SWHC</v>
          </cell>
          <cell r="G550">
            <v>3.2087247282919533E-4</v>
          </cell>
          <cell r="H550">
            <v>4.7290777927263194E-4</v>
          </cell>
          <cell r="I550">
            <v>1.3605287714292509</v>
          </cell>
          <cell r="J550">
            <v>1.3605325558583536</v>
          </cell>
        </row>
        <row r="551">
          <cell r="A551" t="str">
            <v>ITOT-SWHCONBR2</v>
          </cell>
          <cell r="B551" t="str">
            <v>VAR_fin</v>
          </cell>
          <cell r="C551" t="str">
            <v>CON</v>
          </cell>
          <cell r="G551">
            <v>5.2844827935840961E-4</v>
          </cell>
          <cell r="H551">
            <v>7.7883683834997503E-4</v>
          </cell>
          <cell r="I551">
            <v>2.2406692663291059</v>
          </cell>
          <cell r="J551">
            <v>2.2406754989455413</v>
          </cell>
        </row>
        <row r="552">
          <cell r="A552" t="str">
            <v>ITOT-SWHCONBR2</v>
          </cell>
          <cell r="B552" t="str">
            <v>VAR_ncap</v>
          </cell>
          <cell r="C552" t="str">
            <v>-</v>
          </cell>
          <cell r="G552">
            <v>2.8567763476077599E-5</v>
          </cell>
          <cell r="H552">
            <v>1.3564127181449301E-5</v>
          </cell>
          <cell r="I552">
            <v>0.12182317657028301</v>
          </cell>
          <cell r="J552">
            <v>3.3439375584602402E-2</v>
          </cell>
        </row>
        <row r="553">
          <cell r="A553" t="str">
            <v>ITOT-SWHCONBR2</v>
          </cell>
          <cell r="B553" t="str">
            <v>VAR_cap</v>
          </cell>
          <cell r="C553" t="str">
            <v>-</v>
          </cell>
          <cell r="G553">
            <v>2.8567763476077599E-5</v>
          </cell>
          <cell r="H553">
            <v>4.2131890657526803E-5</v>
          </cell>
          <cell r="I553">
            <v>0.12185625208881599</v>
          </cell>
          <cell r="J553">
            <v>0.121856276359938</v>
          </cell>
        </row>
        <row r="554">
          <cell r="A554" t="str">
            <v>RHES-SHCONBR1</v>
          </cell>
          <cell r="B554" t="str">
            <v>VAR_fout</v>
          </cell>
          <cell r="C554" t="str">
            <v>RHES-SHCON</v>
          </cell>
          <cell r="D554">
            <v>1.3042516956972429E-2</v>
          </cell>
          <cell r="E554">
            <v>1.1276562944340365</v>
          </cell>
          <cell r="F554">
            <v>0.69003303046190301</v>
          </cell>
          <cell r="G554">
            <v>1.4978468949509296</v>
          </cell>
          <cell r="H554">
            <v>3.1658762105278035</v>
          </cell>
          <cell r="I554">
            <v>4.1450160126734978</v>
          </cell>
          <cell r="J554">
            <v>6.414221642178223</v>
          </cell>
        </row>
        <row r="555">
          <cell r="A555" t="str">
            <v>RHES-SHCONBR1</v>
          </cell>
          <cell r="B555" t="str">
            <v>VAR_fin</v>
          </cell>
          <cell r="C555" t="str">
            <v>CON</v>
          </cell>
          <cell r="D555">
            <v>1.3042516956972429E-2</v>
          </cell>
          <cell r="E555">
            <v>1.1276562944340365</v>
          </cell>
          <cell r="F555">
            <v>0.69003303046190301</v>
          </cell>
          <cell r="G555">
            <v>1.4978468949509296</v>
          </cell>
          <cell r="H555">
            <v>3.1658762105278035</v>
          </cell>
          <cell r="I555">
            <v>4.1450160126734978</v>
          </cell>
          <cell r="J555">
            <v>6.414221642178223</v>
          </cell>
        </row>
        <row r="556">
          <cell r="A556" t="str">
            <v>RHES-SHCONBR1</v>
          </cell>
          <cell r="B556" t="str">
            <v>VAR_ncap</v>
          </cell>
          <cell r="C556" t="str">
            <v>-</v>
          </cell>
          <cell r="D556">
            <v>4.5549674618249901E-2</v>
          </cell>
          <cell r="E556">
            <v>4.5549674682756801E-2</v>
          </cell>
          <cell r="F556">
            <v>3.4923541202047399E-8</v>
          </cell>
          <cell r="G556">
            <v>2.99219694695399E-2</v>
          </cell>
          <cell r="H556">
            <v>0.134745953520234</v>
          </cell>
          <cell r="I556">
            <v>7.9100191281014004E-2</v>
          </cell>
          <cell r="J556">
            <v>0.225246620557467</v>
          </cell>
        </row>
        <row r="557">
          <cell r="A557" t="str">
            <v>RHES-SHCONBR1</v>
          </cell>
          <cell r="B557" t="str">
            <v>VAR_cap</v>
          </cell>
          <cell r="C557" t="str">
            <v>-</v>
          </cell>
          <cell r="D557">
            <v>4.5549674618249901E-2</v>
          </cell>
          <cell r="E557">
            <v>9.1099349301006702E-2</v>
          </cell>
          <cell r="F557">
            <v>9.1098981205930019E-2</v>
          </cell>
          <cell r="G557">
            <v>0.12102117493746752</v>
          </cell>
          <cell r="H557">
            <v>0.2557672162302328</v>
          </cell>
          <cell r="I557">
            <v>0.33486743234427058</v>
          </cell>
          <cell r="J557">
            <v>0.51819046388943868</v>
          </cell>
        </row>
        <row r="558">
          <cell r="A558" t="str">
            <v>ITOT-SWHCONBR3</v>
          </cell>
          <cell r="B558" t="str">
            <v>VAR_fout</v>
          </cell>
          <cell r="C558" t="str">
            <v>ITOT-ELS</v>
          </cell>
          <cell r="G558">
            <v>6.6321307280893497E-5</v>
          </cell>
          <cell r="H558">
            <v>1.2482809489288305E-4</v>
          </cell>
          <cell r="I558">
            <v>4.2474648982650326E-2</v>
          </cell>
          <cell r="J558">
            <v>0.57201306973579857</v>
          </cell>
        </row>
        <row r="559">
          <cell r="A559" t="str">
            <v>ITOT-SWHCONBR3</v>
          </cell>
          <cell r="B559" t="str">
            <v>VAR_fout</v>
          </cell>
          <cell r="C559" t="str">
            <v>ITOT-SWHC</v>
          </cell>
          <cell r="G559">
            <v>1.3161839648071611E-4</v>
          </cell>
          <cell r="H559">
            <v>2.4772843538741792E-4</v>
          </cell>
          <cell r="I559">
            <v>8.4293350348180862E-2</v>
          </cell>
          <cell r="J559">
            <v>1.1351923852430954</v>
          </cell>
        </row>
        <row r="560">
          <cell r="A560" t="str">
            <v>ITOT-SWHCONBR3</v>
          </cell>
          <cell r="B560" t="str">
            <v>VAR_fin</v>
          </cell>
          <cell r="C560" t="str">
            <v>CON</v>
          </cell>
          <cell r="G560">
            <v>1.9793970376160943E-4</v>
          </cell>
          <cell r="H560">
            <v>3.7255653028030097E-4</v>
          </cell>
          <cell r="I560">
            <v>0.12676799933083127</v>
          </cell>
          <cell r="J560">
            <v>1.7072054549788933</v>
          </cell>
        </row>
        <row r="561">
          <cell r="A561" t="str">
            <v>ITOT-SWHCONBR3</v>
          </cell>
          <cell r="B561" t="str">
            <v>VAR_ncap</v>
          </cell>
          <cell r="C561" t="str">
            <v>-</v>
          </cell>
          <cell r="G561">
            <v>1.0503776298916E-5</v>
          </cell>
          <cell r="H561">
            <v>9.5110040648715296E-6</v>
          </cell>
          <cell r="I561">
            <v>6.8779736019053102E-3</v>
          </cell>
          <cell r="J561">
            <v>8.78485021738028E-2</v>
          </cell>
        </row>
        <row r="562">
          <cell r="A562" t="str">
            <v>ITOT-SWHCONBR3</v>
          </cell>
          <cell r="B562" t="str">
            <v>VAR_cap</v>
          </cell>
          <cell r="C562" t="str">
            <v>-</v>
          </cell>
          <cell r="G562">
            <v>1.0503776298916E-5</v>
          </cell>
          <cell r="H562">
            <v>2.00147803637875E-5</v>
          </cell>
          <cell r="I562">
            <v>6.8946585413820196E-3</v>
          </cell>
          <cell r="J562">
            <v>9.2844101296886097E-2</v>
          </cell>
        </row>
        <row r="563">
          <cell r="A563" t="str">
            <v>ITOT-ELCSPECADV</v>
          </cell>
          <cell r="B563" t="str">
            <v>VAR_fout</v>
          </cell>
          <cell r="C563" t="str">
            <v>ITOT-ELS</v>
          </cell>
          <cell r="G563">
            <v>1.1753853577293906E-4</v>
          </cell>
          <cell r="H563">
            <v>2.9488039230793751E-4</v>
          </cell>
          <cell r="I563">
            <v>2.0074955845656136E-4</v>
          </cell>
          <cell r="J563">
            <v>2.589328964162622E-4</v>
          </cell>
        </row>
        <row r="564">
          <cell r="A564" t="str">
            <v>ITOT-ELCSPECADV</v>
          </cell>
          <cell r="B564" t="str">
            <v>VAR_fin</v>
          </cell>
          <cell r="C564" t="str">
            <v>ITOT_ELC</v>
          </cell>
          <cell r="G564">
            <v>1.119414626408944E-4</v>
          </cell>
          <cell r="H564">
            <v>2.7430734168180264E-4</v>
          </cell>
          <cell r="I564">
            <v>1.8249959859687379E-4</v>
          </cell>
          <cell r="J564">
            <v>2.25159040361967E-4</v>
          </cell>
        </row>
        <row r="565">
          <cell r="A565" t="str">
            <v>ITOT-ELCSPECADV</v>
          </cell>
          <cell r="B565" t="str">
            <v>VAR_ncap</v>
          </cell>
          <cell r="C565" t="str">
            <v>-</v>
          </cell>
          <cell r="G565">
            <v>9.9511483892488206E-6</v>
          </cell>
          <cell r="H565">
            <v>7.5557614170905002E-6</v>
          </cell>
          <cell r="I565">
            <v>2.1534018024050099E-7</v>
          </cell>
          <cell r="J565">
            <v>2.3939288478952699E-7</v>
          </cell>
        </row>
        <row r="566">
          <cell r="A566" t="str">
            <v>ITOT-ELCSPECADV</v>
          </cell>
          <cell r="B566" t="str">
            <v>VAR_cap</v>
          </cell>
          <cell r="C566" t="str">
            <v>-</v>
          </cell>
          <cell r="G566">
            <v>9.9511483892488206E-6</v>
          </cell>
          <cell r="H566">
            <v>1.7480131302946487E-5</v>
          </cell>
          <cell r="I566">
            <v>1.760764273946584E-5</v>
          </cell>
          <cell r="J566">
            <v>1.4324718291273544E-5</v>
          </cell>
        </row>
        <row r="567">
          <cell r="A567" t="str">
            <v>RHES-SHELCBR</v>
          </cell>
          <cell r="B567" t="str">
            <v>VAR_fout</v>
          </cell>
          <cell r="C567" t="str">
            <v>RHES-SHAELCB</v>
          </cell>
          <cell r="D567">
            <v>4.2799822041765658</v>
          </cell>
          <cell r="E567">
            <v>4.4886785583180684</v>
          </cell>
          <cell r="F567">
            <v>0.78672134582098352</v>
          </cell>
          <cell r="G567">
            <v>0.19185784650865645</v>
          </cell>
          <cell r="H567">
            <v>1.4318917339963443E-2</v>
          </cell>
          <cell r="I567">
            <v>4.0315781209993426E-3</v>
          </cell>
          <cell r="J567">
            <v>1.9885598152274845E-3</v>
          </cell>
        </row>
        <row r="568">
          <cell r="A568" t="str">
            <v>RHES-SHELCBR</v>
          </cell>
          <cell r="B568" t="str">
            <v>VAR_fin</v>
          </cell>
          <cell r="C568" t="str">
            <v>RHES_ELC</v>
          </cell>
          <cell r="D568">
            <v>4.5052444254490203</v>
          </cell>
          <cell r="E568">
            <v>4.7249247982295461</v>
          </cell>
          <cell r="F568">
            <v>0.85745657441877265</v>
          </cell>
          <cell r="G568">
            <v>0.20846105577650828</v>
          </cell>
          <cell r="H568">
            <v>1.5399880085926613E-2</v>
          </cell>
          <cell r="I568">
            <v>4.2932968141493229E-3</v>
          </cell>
          <cell r="J568">
            <v>2.1073836355048172E-3</v>
          </cell>
        </row>
        <row r="569">
          <cell r="A569" t="str">
            <v>RHES-SHELCBR</v>
          </cell>
          <cell r="B569" t="str">
            <v>VAR_ncap</v>
          </cell>
          <cell r="C569" t="str">
            <v>-</v>
          </cell>
          <cell r="D569">
            <v>6.9244301273057007E-8</v>
          </cell>
          <cell r="E569">
            <v>1.6866080089474999E-2</v>
          </cell>
          <cell r="F569">
            <v>3.0761728417066398E-8</v>
          </cell>
          <cell r="G569">
            <v>6.3043380280708604E-8</v>
          </cell>
          <cell r="H569">
            <v>8.7114019671382402E-7</v>
          </cell>
          <cell r="I569">
            <v>3.2582393816279603E-4</v>
          </cell>
          <cell r="J569">
            <v>4.81196549763019E-8</v>
          </cell>
        </row>
        <row r="570">
          <cell r="A570" t="str">
            <v>RHES-SHELCBR</v>
          </cell>
          <cell r="B570" t="str">
            <v>VAR_cap</v>
          </cell>
          <cell r="C570" t="str">
            <v>-</v>
          </cell>
          <cell r="D570">
            <v>0.34576936912063427</v>
          </cell>
          <cell r="E570">
            <v>0.36263542332533444</v>
          </cell>
          <cell r="F570">
            <v>0.11469092361242769</v>
          </cell>
          <cell r="G570">
            <v>2.7002847620823889E-2</v>
          </cell>
          <cell r="H570">
            <v>2.1175194151860921E-3</v>
          </cell>
          <cell r="I570">
            <v>3.2661889432789661E-4</v>
          </cell>
          <cell r="J570">
            <v>2.3330550850492082E-4</v>
          </cell>
        </row>
        <row r="571">
          <cell r="A571" t="str">
            <v>RHSA-WHELCBR</v>
          </cell>
          <cell r="B571" t="str">
            <v>VAR_fout</v>
          </cell>
          <cell r="C571" t="str">
            <v>RHSA-WHAELCB</v>
          </cell>
          <cell r="D571">
            <v>6.6447018569694993</v>
          </cell>
          <cell r="E571">
            <v>6.9687090792831539</v>
          </cell>
          <cell r="F571">
            <v>2.8217478715063447</v>
          </cell>
          <cell r="G571">
            <v>2.2283576208579903</v>
          </cell>
          <cell r="H571">
            <v>1.9605160665126398</v>
          </cell>
          <cell r="I571">
            <v>1.8871422684339085</v>
          </cell>
          <cell r="J571">
            <v>1.6960920164211062</v>
          </cell>
        </row>
        <row r="572">
          <cell r="A572" t="str">
            <v>RHSA-WHELCBR</v>
          </cell>
          <cell r="B572" t="str">
            <v>VAR_fin</v>
          </cell>
          <cell r="C572" t="str">
            <v>RHSA_ELC</v>
          </cell>
          <cell r="D572">
            <v>8.4110150088221491</v>
          </cell>
          <cell r="E572">
            <v>8.7988751001049934</v>
          </cell>
          <cell r="F572">
            <v>6.0584792174977826</v>
          </cell>
          <cell r="G572">
            <v>4.6228790996558304</v>
          </cell>
          <cell r="H572">
            <v>3.9596420611935668</v>
          </cell>
          <cell r="I572">
            <v>3.7550464821579368</v>
          </cell>
          <cell r="J572">
            <v>3.2836234460447185</v>
          </cell>
        </row>
        <row r="573">
          <cell r="A573" t="str">
            <v>RHSA-WHELCBR</v>
          </cell>
          <cell r="B573" t="str">
            <v>VAR_ncap</v>
          </cell>
          <cell r="C573" t="str">
            <v>-</v>
          </cell>
          <cell r="D573">
            <v>1.6636851702083401E-6</v>
          </cell>
          <cell r="E573">
            <v>3.4215623050409899E-2</v>
          </cell>
          <cell r="F573">
            <v>5.9377273408906301E-8</v>
          </cell>
          <cell r="G573">
            <v>9.9758635224826499E-8</v>
          </cell>
          <cell r="H573">
            <v>6.2512903825951496E-2</v>
          </cell>
          <cell r="I573">
            <v>7.5009520444813196E-2</v>
          </cell>
          <cell r="J573">
            <v>3.81358412299731E-2</v>
          </cell>
        </row>
        <row r="574">
          <cell r="A574" t="str">
            <v>RHSA-WHELCBR</v>
          </cell>
          <cell r="B574" t="str">
            <v>VAR_cap</v>
          </cell>
          <cell r="C574" t="str">
            <v>-</v>
          </cell>
          <cell r="D574">
            <v>0.43757025245884718</v>
          </cell>
          <cell r="E574">
            <v>0.47178582009144521</v>
          </cell>
          <cell r="F574">
            <v>0.3522046534319126</v>
          </cell>
          <cell r="G574">
            <v>0.27520437112140278</v>
          </cell>
          <cell r="H574">
            <v>0.1425389113965779</v>
          </cell>
          <cell r="I574">
            <v>0.13752222708095502</v>
          </cell>
          <cell r="J574">
            <v>0.11901522104898916</v>
          </cell>
        </row>
        <row r="575">
          <cell r="A575" t="str">
            <v>ITOT-SWHLTHDH</v>
          </cell>
          <cell r="B575" t="str">
            <v>VAR_fout</v>
          </cell>
          <cell r="C575" t="str">
            <v>ITOT-SWH</v>
          </cell>
          <cell r="D575">
            <v>6.5822737364857833</v>
          </cell>
          <cell r="E575">
            <v>7.0678494946773647</v>
          </cell>
          <cell r="F575">
            <v>7.0905080570527623</v>
          </cell>
          <cell r="G575">
            <v>7.1282808160922153</v>
          </cell>
          <cell r="H575">
            <v>7.1660484800063031</v>
          </cell>
          <cell r="I575">
            <v>7.7691603395508366</v>
          </cell>
          <cell r="J575">
            <v>8.3087691204175886</v>
          </cell>
        </row>
        <row r="576">
          <cell r="A576" t="str">
            <v>ITOT-SWHLTHDH</v>
          </cell>
          <cell r="B576" t="str">
            <v>VAR_fin</v>
          </cell>
          <cell r="C576" t="str">
            <v>ITOT_LTH_DH</v>
          </cell>
          <cell r="D576">
            <v>7.1200029729715606</v>
          </cell>
          <cell r="E576">
            <v>7.6289070574065185</v>
          </cell>
          <cell r="F576">
            <v>7.6289065666842193</v>
          </cell>
          <cell r="G576">
            <v>7.6289148403193145</v>
          </cell>
          <cell r="H576">
            <v>7.6289176025207723</v>
          </cell>
          <cell r="I576">
            <v>8.2276260418181053</v>
          </cell>
          <cell r="J576">
            <v>8.7460727583343161</v>
          </cell>
        </row>
        <row r="577">
          <cell r="A577" t="str">
            <v>ITOT-SWHLTHDH</v>
          </cell>
          <cell r="B577" t="str">
            <v>VAR_fin</v>
          </cell>
          <cell r="C577" t="str">
            <v>ITOTLTHDHC</v>
          </cell>
          <cell r="D577">
            <v>6.5822737364857833</v>
          </cell>
          <cell r="E577">
            <v>7.0678494946773647</v>
          </cell>
          <cell r="F577">
            <v>7.0905080570527623</v>
          </cell>
          <cell r="G577">
            <v>7.1282808160922153</v>
          </cell>
          <cell r="H577">
            <v>7.1660484800063031</v>
          </cell>
          <cell r="I577">
            <v>7.7691603395508366</v>
          </cell>
          <cell r="J577">
            <v>8.3087691204175886</v>
          </cell>
        </row>
        <row r="578">
          <cell r="A578" t="str">
            <v>ITOT-SWHLTHDH</v>
          </cell>
          <cell r="B578" t="str">
            <v>VAR_ncap</v>
          </cell>
          <cell r="C578" t="str">
            <v>-</v>
          </cell>
          <cell r="E578">
            <v>1.36436682581397E-2</v>
          </cell>
          <cell r="F578">
            <v>0.20290055170017701</v>
          </cell>
          <cell r="G578">
            <v>2.9590954940939902E-2</v>
          </cell>
          <cell r="H578">
            <v>0.46758877469853299</v>
          </cell>
          <cell r="I578">
            <v>0.178477539717186</v>
          </cell>
          <cell r="J578">
            <v>0.43392308886998499</v>
          </cell>
        </row>
        <row r="579">
          <cell r="A579" t="str">
            <v>ITOT-SWHLTHDH</v>
          </cell>
          <cell r="B579" t="str">
            <v>VAR_cap</v>
          </cell>
          <cell r="C579" t="str">
            <v>-</v>
          </cell>
          <cell r="D579">
            <v>0.79547229253225304</v>
          </cell>
          <cell r="E579">
            <v>0.53634365847960574</v>
          </cell>
          <cell r="F579">
            <v>0.73135389126643002</v>
          </cell>
          <cell r="G579">
            <v>0.74002244853212407</v>
          </cell>
          <cell r="H579">
            <v>0.79534007131851103</v>
          </cell>
          <cell r="I579">
            <v>0.67258447911940833</v>
          </cell>
          <cell r="J579">
            <v>0.74789531509363272</v>
          </cell>
        </row>
        <row r="580">
          <cell r="A580" t="str">
            <v>RHES-SHCONBR2</v>
          </cell>
          <cell r="B580" t="str">
            <v>VAR_fout</v>
          </cell>
          <cell r="C580" t="str">
            <v>RHES-SHCON</v>
          </cell>
          <cell r="D580">
            <v>1.1465052579244071E-2</v>
          </cell>
          <cell r="E580">
            <v>0.82067581257385069</v>
          </cell>
          <cell r="F580">
            <v>0.48291247443498192</v>
          </cell>
          <cell r="G580">
            <v>0.82054051965826758</v>
          </cell>
          <cell r="H580">
            <v>0.94184583196955118</v>
          </cell>
          <cell r="I580">
            <v>1.6727557804592001</v>
          </cell>
          <cell r="J580">
            <v>3.4216926718675014</v>
          </cell>
        </row>
        <row r="581">
          <cell r="A581" t="str">
            <v>RHES-SHCONBR2</v>
          </cell>
          <cell r="B581" t="str">
            <v>VAR_fin</v>
          </cell>
          <cell r="C581" t="str">
            <v>CON</v>
          </cell>
          <cell r="D581">
            <v>1.1465052579244071E-2</v>
          </cell>
          <cell r="E581">
            <v>0.82067581257385069</v>
          </cell>
          <cell r="F581">
            <v>0.48291247443498192</v>
          </cell>
          <cell r="G581">
            <v>0.82054051965826758</v>
          </cell>
          <cell r="H581">
            <v>0.94184583196955118</v>
          </cell>
          <cell r="I581">
            <v>1.6727557804592001</v>
          </cell>
          <cell r="J581">
            <v>3.4216926718675014</v>
          </cell>
        </row>
        <row r="582">
          <cell r="A582" t="str">
            <v>RHES-SHCONBR2</v>
          </cell>
          <cell r="B582" t="str">
            <v>VAR_ncap</v>
          </cell>
          <cell r="C582" t="str">
            <v>-</v>
          </cell>
          <cell r="D582">
            <v>3.3149551196410401E-2</v>
          </cell>
          <cell r="E582">
            <v>3.3149551396962601E-2</v>
          </cell>
          <cell r="F582">
            <v>3.46699194285316E-8</v>
          </cell>
          <cell r="G582">
            <v>3.9976115802734304E-6</v>
          </cell>
          <cell r="H582">
            <v>9.7898230080104703E-3</v>
          </cell>
          <cell r="I582">
            <v>5.9046301640444998E-2</v>
          </cell>
          <cell r="J582">
            <v>0.17180226773426999</v>
          </cell>
        </row>
        <row r="583">
          <cell r="A583" t="str">
            <v>RHES-SHCONBR2</v>
          </cell>
          <cell r="B583" t="str">
            <v>VAR_cap</v>
          </cell>
          <cell r="C583" t="str">
            <v>-</v>
          </cell>
          <cell r="D583">
            <v>3.3149551196410401E-2</v>
          </cell>
          <cell r="E583">
            <v>6.6299102593373002E-2</v>
          </cell>
          <cell r="F583">
            <v>6.6298737642731226E-2</v>
          </cell>
          <cell r="G583">
            <v>6.6302957375519458E-2</v>
          </cell>
          <cell r="H583">
            <v>7.6092867514939586E-2</v>
          </cell>
          <cell r="I583">
            <v>0.1351391938325705</v>
          </cell>
          <cell r="J583">
            <v>0.27643086777385156</v>
          </cell>
        </row>
        <row r="584">
          <cell r="A584" t="str">
            <v>ITOT-SWHCONBR4</v>
          </cell>
          <cell r="B584" t="str">
            <v>VAR_fout</v>
          </cell>
          <cell r="C584" t="str">
            <v>ITOT-ELS</v>
          </cell>
          <cell r="H584">
            <v>2.6079734193307311E-5</v>
          </cell>
          <cell r="I584">
            <v>2.7927786433811348E-5</v>
          </cell>
          <cell r="J584">
            <v>2.7534046109580297E-5</v>
          </cell>
        </row>
        <row r="585">
          <cell r="A585" t="str">
            <v>ITOT-SWHCONBR4</v>
          </cell>
          <cell r="B585" t="str">
            <v>VAR_fout</v>
          </cell>
          <cell r="C585" t="str">
            <v>ITOT-SWHC</v>
          </cell>
          <cell r="H585">
            <v>2.8026686586348924E-4</v>
          </cell>
          <cell r="I585">
            <v>3.0012703029457433E-4</v>
          </cell>
          <cell r="J585">
            <v>2.9589568476710984E-4</v>
          </cell>
        </row>
        <row r="586">
          <cell r="A586" t="str">
            <v>ITOT-SWHCONBR4</v>
          </cell>
          <cell r="B586" t="str">
            <v>VAR_fin</v>
          </cell>
          <cell r="C586" t="str">
            <v>CON</v>
          </cell>
          <cell r="H586">
            <v>3.0634660005679655E-4</v>
          </cell>
          <cell r="I586">
            <v>3.2805481672838586E-4</v>
          </cell>
          <cell r="J586">
            <v>3.2342973087668992E-4</v>
          </cell>
        </row>
        <row r="587">
          <cell r="A587" t="str">
            <v>ITOT-SWHCONBR4</v>
          </cell>
          <cell r="B587" t="str">
            <v>VAR_ncap</v>
          </cell>
          <cell r="C587" t="str">
            <v>-</v>
          </cell>
          <cell r="H587">
            <v>1.60818812994504E-5</v>
          </cell>
          <cell r="I587">
            <v>1.0723653837913501E-6</v>
          </cell>
          <cell r="J587">
            <v>9.6775397046789301E-6</v>
          </cell>
        </row>
        <row r="588">
          <cell r="A588" t="str">
            <v>ITOT-SWHCONBR4</v>
          </cell>
          <cell r="B588" t="str">
            <v>VAR_cap</v>
          </cell>
          <cell r="C588" t="str">
            <v>-</v>
          </cell>
          <cell r="H588">
            <v>1.60818812994504E-5</v>
          </cell>
          <cell r="I588">
            <v>1.7154246683241798E-5</v>
          </cell>
          <cell r="J588">
            <v>1.7258340986746902E-5</v>
          </cell>
        </row>
        <row r="589">
          <cell r="A589" t="str">
            <v>D-ITOT_NKEV_GAS_ELC_CHP</v>
          </cell>
          <cell r="B589" t="str">
            <v>VAR_fout</v>
          </cell>
          <cell r="C589" t="str">
            <v>ITOT_ELC</v>
          </cell>
          <cell r="D589">
            <v>0.66873445013286725</v>
          </cell>
          <cell r="E589">
            <v>0.16503247210185953</v>
          </cell>
          <cell r="F589">
            <v>0.954267333154596</v>
          </cell>
          <cell r="G589">
            <v>1.4152141779902376</v>
          </cell>
          <cell r="H589">
            <v>0.88528610487530512</v>
          </cell>
          <cell r="I589">
            <v>0.21471718839699</v>
          </cell>
          <cell r="J589">
            <v>4.0485972357606294E-2</v>
          </cell>
        </row>
        <row r="590">
          <cell r="A590" t="str">
            <v>D-ITOT_NKEV_GAS_ELC_CHP</v>
          </cell>
          <cell r="B590" t="str">
            <v>VAR_fout</v>
          </cell>
          <cell r="C590" t="str">
            <v>ELC5</v>
          </cell>
          <cell r="D590">
            <v>1.2326112943504455E-3</v>
          </cell>
          <cell r="E590">
            <v>7.5681103270535115E-4</v>
          </cell>
          <cell r="F590">
            <v>9.1971820242533607E-4</v>
          </cell>
          <cell r="G590">
            <v>1.0656908479079279E-3</v>
          </cell>
          <cell r="H590">
            <v>1.0416562815412612E-3</v>
          </cell>
          <cell r="I590">
            <v>9.8070832766736331E-3</v>
          </cell>
          <cell r="J590">
            <v>6.9529951732896246E-4</v>
          </cell>
        </row>
        <row r="591">
          <cell r="A591" t="str">
            <v>D-ITOT_NKEV_GAS_ELC_CHP</v>
          </cell>
          <cell r="B591" t="str">
            <v>VAR_fin</v>
          </cell>
          <cell r="C591" t="str">
            <v>ITOT_NKEV_GAS_ELC_CHP</v>
          </cell>
          <cell r="D591">
            <v>0.66996706142721818</v>
          </cell>
          <cell r="E591">
            <v>0.16578928313456487</v>
          </cell>
          <cell r="F591">
            <v>0.95518478301099263</v>
          </cell>
          <cell r="G591">
            <v>1.4162798688381444</v>
          </cell>
          <cell r="H591">
            <v>0.88632776115684586</v>
          </cell>
          <cell r="I591">
            <v>0.22452427167366357</v>
          </cell>
          <cell r="J591">
            <v>4.1181271874935303E-2</v>
          </cell>
        </row>
        <row r="592">
          <cell r="A592" t="str">
            <v>SCOM-SHELCBR</v>
          </cell>
          <cell r="B592" t="str">
            <v>VAR_fout</v>
          </cell>
          <cell r="C592" t="str">
            <v>SCOM-SHAELCB</v>
          </cell>
          <cell r="D592">
            <v>2.3940419463591907</v>
          </cell>
          <cell r="E592">
            <v>0.59041170540653587</v>
          </cell>
          <cell r="F592">
            <v>0.5219560555862538</v>
          </cell>
          <cell r="G592">
            <v>0.35445132815298386</v>
          </cell>
          <cell r="H592">
            <v>0.28976659374508867</v>
          </cell>
          <cell r="I592">
            <v>0.2629550244482331</v>
          </cell>
          <cell r="J592">
            <v>0.19422991063410364</v>
          </cell>
        </row>
        <row r="593">
          <cell r="A593" t="str">
            <v>SCOM-SHELCBR</v>
          </cell>
          <cell r="B593" t="str">
            <v>VAR_fin</v>
          </cell>
          <cell r="C593" t="str">
            <v>SCOM_ELC</v>
          </cell>
          <cell r="D593">
            <v>2.6236076124484264</v>
          </cell>
          <cell r="E593">
            <v>0.64525869443337192</v>
          </cell>
          <cell r="F593">
            <v>1.1044128581295334</v>
          </cell>
          <cell r="G593">
            <v>0.72990424570184309</v>
          </cell>
          <cell r="H593">
            <v>0.58464045525278596</v>
          </cell>
          <cell r="I593">
            <v>0.52296201160220712</v>
          </cell>
          <cell r="J593">
            <v>0.3696383315484163</v>
          </cell>
        </row>
        <row r="594">
          <cell r="A594" t="str">
            <v>SCOM-SHELCBR</v>
          </cell>
          <cell r="B594" t="str">
            <v>VAR_ncap</v>
          </cell>
          <cell r="C594" t="str">
            <v>-</v>
          </cell>
          <cell r="D594">
            <v>3.2697652412209601E-7</v>
          </cell>
          <cell r="E594">
            <v>2.5034506706436499E-7</v>
          </cell>
          <cell r="F594">
            <v>2.1595262656963399E-7</v>
          </cell>
          <cell r="G594">
            <v>3.6498745224574698E-7</v>
          </cell>
          <cell r="H594">
            <v>1.5276281980359799E-2</v>
          </cell>
          <cell r="I594">
            <v>1.2476246681743399E-2</v>
          </cell>
          <cell r="J594">
            <v>4.8441142082090403E-3</v>
          </cell>
        </row>
        <row r="595">
          <cell r="A595" t="str">
            <v>SCOM-SHELCBR</v>
          </cell>
          <cell r="B595" t="str">
            <v>VAR_cap</v>
          </cell>
          <cell r="C595" t="str">
            <v>-</v>
          </cell>
          <cell r="D595">
            <v>0.18498837532796614</v>
          </cell>
          <cell r="E595">
            <v>7.7245436761137196E-2</v>
          </cell>
          <cell r="F595">
            <v>7.3518152965600755E-2</v>
          </cell>
          <cell r="G595">
            <v>4.5402731544790992E-2</v>
          </cell>
          <cell r="H595">
            <v>2.7050204357304299E-2</v>
          </cell>
          <cell r="I595">
            <v>2.7752223128369127E-2</v>
          </cell>
          <cell r="J595">
            <v>2.035983566043565E-2</v>
          </cell>
        </row>
        <row r="596">
          <cell r="A596" t="str">
            <v>RHES-SHCONBR3</v>
          </cell>
          <cell r="B596" t="str">
            <v>VAR_fout</v>
          </cell>
          <cell r="C596" t="str">
            <v>RHES-SHCON</v>
          </cell>
          <cell r="D596">
            <v>1.3808620243307259E-2</v>
          </cell>
          <cell r="E596">
            <v>1.3555251598850673</v>
          </cell>
          <cell r="F596">
            <v>0.8490677997904702</v>
          </cell>
          <cell r="G596">
            <v>1.3553393811389431</v>
          </cell>
          <cell r="H596">
            <v>1.3554663360024031</v>
          </cell>
          <cell r="I596">
            <v>1.3554939835007449</v>
          </cell>
          <cell r="J596">
            <v>0.73170577229999112</v>
          </cell>
        </row>
        <row r="597">
          <cell r="A597" t="str">
            <v>RHES-SHCONBR3</v>
          </cell>
          <cell r="B597" t="str">
            <v>VAR_fin</v>
          </cell>
          <cell r="C597" t="str">
            <v>CON</v>
          </cell>
          <cell r="D597">
            <v>1.3808620243307259E-2</v>
          </cell>
          <cell r="E597">
            <v>1.3555251598850673</v>
          </cell>
          <cell r="F597">
            <v>0.8490677997904702</v>
          </cell>
          <cell r="G597">
            <v>1.3553393811389431</v>
          </cell>
          <cell r="H597">
            <v>1.3554663360024031</v>
          </cell>
          <cell r="I597">
            <v>1.3554939835007449</v>
          </cell>
          <cell r="J597">
            <v>0.73170577229999112</v>
          </cell>
        </row>
        <row r="598">
          <cell r="A598" t="str">
            <v>RHES-SHCONBR3</v>
          </cell>
          <cell r="B598" t="str">
            <v>VAR_ncap</v>
          </cell>
          <cell r="C598" t="str">
            <v>-</v>
          </cell>
          <cell r="D598">
            <v>5.4754166879578701E-2</v>
          </cell>
          <cell r="E598">
            <v>5.4754183621679699E-2</v>
          </cell>
          <cell r="I598">
            <v>1.1967112343737699E-8</v>
          </cell>
          <cell r="J598">
            <v>1.7260427849655501E-8</v>
          </cell>
        </row>
        <row r="599">
          <cell r="A599" t="str">
            <v>RHES-SHCONBR3</v>
          </cell>
          <cell r="B599" t="str">
            <v>VAR_cap</v>
          </cell>
          <cell r="C599" t="str">
            <v>-</v>
          </cell>
          <cell r="D599">
            <v>5.4754166879578701E-2</v>
          </cell>
          <cell r="E599">
            <v>0.109508350501258</v>
          </cell>
          <cell r="F599">
            <v>0.10950794608141674</v>
          </cell>
          <cell r="G599">
            <v>0.10950817292588509</v>
          </cell>
          <cell r="H599">
            <v>0.10950826067345115</v>
          </cell>
          <cell r="I599">
            <v>0.10950829709335015</v>
          </cell>
          <cell r="J599">
            <v>5.9112968817038571E-2</v>
          </cell>
        </row>
        <row r="600">
          <cell r="A600" t="str">
            <v>ITOT-SWHCONBR5</v>
          </cell>
          <cell r="B600" t="str">
            <v>VAR_fout</v>
          </cell>
          <cell r="C600" t="str">
            <v>ITOT-ELS</v>
          </cell>
          <cell r="H600">
            <v>3.9653062579445343E-5</v>
          </cell>
          <cell r="I600">
            <v>4.3941802682225745E-5</v>
          </cell>
          <cell r="J600">
            <v>4.309263414701089E-5</v>
          </cell>
        </row>
        <row r="601">
          <cell r="A601" t="str">
            <v>ITOT-SWHCONBR5</v>
          </cell>
          <cell r="B601" t="str">
            <v>VAR_fout</v>
          </cell>
          <cell r="C601" t="str">
            <v>ITOT-SWHC</v>
          </cell>
          <cell r="H601">
            <v>1.9449337391635327E-4</v>
          </cell>
          <cell r="I601">
            <v>2.1552911436562963E-4</v>
          </cell>
          <cell r="J601">
            <v>2.1136404759161594E-4</v>
          </cell>
        </row>
        <row r="602">
          <cell r="A602" t="str">
            <v>ITOT-SWHCONBR5</v>
          </cell>
          <cell r="B602" t="str">
            <v>VAR_fin</v>
          </cell>
          <cell r="C602" t="str">
            <v>CON</v>
          </cell>
          <cell r="H602">
            <v>2.341464364957987E-4</v>
          </cell>
          <cell r="I602">
            <v>2.5947091704785555E-4</v>
          </cell>
          <cell r="J602">
            <v>2.5445668173862678E-4</v>
          </cell>
        </row>
        <row r="603">
          <cell r="A603" t="str">
            <v>ITOT-SWHCONBR5</v>
          </cell>
          <cell r="B603" t="str">
            <v>VAR_ncap</v>
          </cell>
          <cell r="C603" t="str">
            <v>-</v>
          </cell>
          <cell r="H603">
            <v>1.21639929877791E-5</v>
          </cell>
          <cell r="I603">
            <v>1.18752152251662E-6</v>
          </cell>
          <cell r="J603">
            <v>7.4871017495178202E-6</v>
          </cell>
        </row>
        <row r="604">
          <cell r="A604" t="str">
            <v>ITOT-SWHCONBR5</v>
          </cell>
          <cell r="B604" t="str">
            <v>VAR_cap</v>
          </cell>
          <cell r="C604" t="str">
            <v>-</v>
          </cell>
          <cell r="H604">
            <v>1.21639929877791E-5</v>
          </cell>
          <cell r="I604">
            <v>1.33515145102957E-5</v>
          </cell>
          <cell r="J604">
            <v>1.3494229901541099E-5</v>
          </cell>
        </row>
        <row r="605">
          <cell r="A605" t="str">
            <v>RHES-SHSTG-ELC</v>
          </cell>
          <cell r="B605" t="str">
            <v>VAR_fout</v>
          </cell>
          <cell r="C605" t="str">
            <v>RHES-SHAELCB</v>
          </cell>
          <cell r="D605">
            <v>0.70678765532460552</v>
          </cell>
          <cell r="E605">
            <v>0.77553588757180236</v>
          </cell>
          <cell r="F605">
            <v>0.19235366663334166</v>
          </cell>
          <cell r="G605">
            <v>4.6910796463698459E-2</v>
          </cell>
          <cell r="H605">
            <v>2.5174258722416875E-3</v>
          </cell>
          <cell r="I605">
            <v>4.1527109772983702E-4</v>
          </cell>
          <cell r="J605">
            <v>3.1042933467264927E-4</v>
          </cell>
        </row>
        <row r="606">
          <cell r="A606" t="str">
            <v>RHES-SHSTG-ELC</v>
          </cell>
          <cell r="B606" t="str">
            <v>VAR_fout</v>
          </cell>
          <cell r="C606" t="str">
            <v>AUX_RHES-SHSTG-ELC_OUT</v>
          </cell>
          <cell r="D606">
            <v>0.70749444297992969</v>
          </cell>
          <cell r="E606">
            <v>0.77631142345937343</v>
          </cell>
          <cell r="F606">
            <v>0.19254602029997497</v>
          </cell>
          <cell r="G606">
            <v>4.6957707260162226E-2</v>
          </cell>
          <cell r="H606">
            <v>2.51994329811393E-3</v>
          </cell>
          <cell r="I606">
            <v>4.1568636882756654E-4</v>
          </cell>
          <cell r="J606">
            <v>3.1073976400732163E-4</v>
          </cell>
        </row>
        <row r="607">
          <cell r="A607" t="str">
            <v>RHES-SHSTG-ELC</v>
          </cell>
          <cell r="B607" t="str">
            <v>VAR_fin</v>
          </cell>
          <cell r="C607" t="str">
            <v>RHES-SHAELCB</v>
          </cell>
          <cell r="D607">
            <v>0.70679387739271915</v>
          </cell>
          <cell r="E607">
            <v>0.77553587531347856</v>
          </cell>
          <cell r="F607">
            <v>0.19235334984635313</v>
          </cell>
          <cell r="G607">
            <v>4.6910656016973674E-2</v>
          </cell>
          <cell r="H607">
            <v>2.5176733921537095E-3</v>
          </cell>
          <cell r="I607">
            <v>4.1574201005667585E-4</v>
          </cell>
          <cell r="J607">
            <v>3.1087935598557556E-4</v>
          </cell>
        </row>
        <row r="608">
          <cell r="A608" t="str">
            <v>RHES-SHSTG-ELC</v>
          </cell>
          <cell r="B608" t="str">
            <v>VAR_ncap</v>
          </cell>
          <cell r="C608" t="str">
            <v>-</v>
          </cell>
          <cell r="D608">
            <v>6.39895438732829E-2</v>
          </cell>
          <cell r="E608">
            <v>1.0018282455518599E-5</v>
          </cell>
          <cell r="F608">
            <v>1.44950955352687E-6</v>
          </cell>
          <cell r="G608">
            <v>2.8690351703792601E-6</v>
          </cell>
          <cell r="H608">
            <v>7.9156994305779892E-6</v>
          </cell>
          <cell r="I608">
            <v>5.6573188703962899E-5</v>
          </cell>
          <cell r="J608">
            <v>8.5869963985647397E-6</v>
          </cell>
        </row>
        <row r="609">
          <cell r="A609" t="str">
            <v>RHES-SHSTG-ELC</v>
          </cell>
          <cell r="B609" t="str">
            <v>VAR_cap</v>
          </cell>
          <cell r="C609" t="str">
            <v>-</v>
          </cell>
          <cell r="D609">
            <v>6.39895438732829E-2</v>
          </cell>
          <cell r="E609">
            <v>6.3994823001654294E-2</v>
          </cell>
          <cell r="F609">
            <v>2.0239929830124098E-2</v>
          </cell>
          <cell r="G609">
            <v>4.7656290494883999E-3</v>
          </cell>
          <cell r="H609">
            <v>3.7382973594689978E-4</v>
          </cell>
          <cell r="I609">
            <v>5.9685559424324595E-5</v>
          </cell>
          <cell r="J609">
            <v>4.6356914477538251E-5</v>
          </cell>
        </row>
        <row r="610">
          <cell r="A610" t="str">
            <v>RHES-SHCONBR4</v>
          </cell>
          <cell r="B610" t="str">
            <v>VAR_fout</v>
          </cell>
          <cell r="C610" t="str">
            <v>RHES-SHCON</v>
          </cell>
          <cell r="E610">
            <v>0.42669815965849517</v>
          </cell>
          <cell r="F610">
            <v>0.23440658451711432</v>
          </cell>
          <cell r="G610">
            <v>0.42652139591677635</v>
          </cell>
          <cell r="H610">
            <v>0.42664294307419071</v>
          </cell>
          <cell r="I610">
            <v>0.42666966480473922</v>
          </cell>
          <cell r="J610">
            <v>0.24666364399809543</v>
          </cell>
        </row>
        <row r="611">
          <cell r="A611" t="str">
            <v>RHES-SHCONBR4</v>
          </cell>
          <cell r="B611" t="str">
            <v>VAR_fin</v>
          </cell>
          <cell r="C611" t="str">
            <v>CON</v>
          </cell>
          <cell r="E611">
            <v>0.42669815965849517</v>
          </cell>
          <cell r="F611">
            <v>0.23440658451711432</v>
          </cell>
          <cell r="G611">
            <v>0.42652139591677635</v>
          </cell>
          <cell r="H611">
            <v>0.42664294307419071</v>
          </cell>
          <cell r="I611">
            <v>0.42666966480473922</v>
          </cell>
          <cell r="J611">
            <v>0.24666364399809543</v>
          </cell>
        </row>
        <row r="612">
          <cell r="A612" t="str">
            <v>RHES-SHCONBR4</v>
          </cell>
          <cell r="B612" t="str">
            <v>VAR_ncap</v>
          </cell>
          <cell r="C612" t="str">
            <v>-</v>
          </cell>
          <cell r="E612">
            <v>3.4470619538877603E-2</v>
          </cell>
          <cell r="J612">
            <v>1.2283637499083599E-8</v>
          </cell>
        </row>
        <row r="613">
          <cell r="A613" t="str">
            <v>RHES-SHCONBR4</v>
          </cell>
          <cell r="B613" t="str">
            <v>VAR_cap</v>
          </cell>
          <cell r="C613" t="str">
            <v>-</v>
          </cell>
          <cell r="E613">
            <v>3.4470619538877603E-2</v>
          </cell>
          <cell r="F613">
            <v>3.4470425296492621E-2</v>
          </cell>
          <cell r="G613">
            <v>3.4470516807930278E-2</v>
          </cell>
          <cell r="H613">
            <v>3.447055347594468E-2</v>
          </cell>
          <cell r="I613">
            <v>3.4470569458248473E-2</v>
          </cell>
          <cell r="J613">
            <v>1.9927505811110063E-2</v>
          </cell>
        </row>
        <row r="614">
          <cell r="A614" t="str">
            <v>ITOT-SWHCONBR6</v>
          </cell>
          <cell r="B614" t="str">
            <v>VAR_fout</v>
          </cell>
          <cell r="C614" t="str">
            <v>ITOT-SWHC</v>
          </cell>
          <cell r="I614">
            <v>1.4778736587817091E-4</v>
          </cell>
          <cell r="J614">
            <v>1.4450614249484169E-4</v>
          </cell>
        </row>
        <row r="615">
          <cell r="A615" t="str">
            <v>ITOT-SWHCONBR6</v>
          </cell>
          <cell r="B615" t="str">
            <v>VAR_fin</v>
          </cell>
          <cell r="C615" t="str">
            <v>CON</v>
          </cell>
          <cell r="I615">
            <v>1.4778736587817091E-4</v>
          </cell>
          <cell r="J615">
            <v>1.4450614249484169E-4</v>
          </cell>
        </row>
        <row r="616">
          <cell r="A616" t="str">
            <v>ITOT-SWHCONBR6</v>
          </cell>
          <cell r="B616" t="str">
            <v>VAR_ncap</v>
          </cell>
          <cell r="C616" t="str">
            <v>-</v>
          </cell>
          <cell r="I616">
            <v>7.3063683341409799E-6</v>
          </cell>
          <cell r="J616">
            <v>2.1320743653638298E-6</v>
          </cell>
        </row>
        <row r="617">
          <cell r="A617" t="str">
            <v>ITOT-SWHCONBR6</v>
          </cell>
          <cell r="B617" t="str">
            <v>VAR_cap</v>
          </cell>
          <cell r="C617" t="str">
            <v>-</v>
          </cell>
          <cell r="I617">
            <v>7.3063683341409799E-6</v>
          </cell>
          <cell r="J617">
            <v>7.4345508032340397E-6</v>
          </cell>
        </row>
        <row r="618">
          <cell r="A618" t="str">
            <v>RHNM-SHNGAHP</v>
          </cell>
          <cell r="B618" t="str">
            <v>VAR_fout</v>
          </cell>
          <cell r="C618" t="str">
            <v>CO2_R</v>
          </cell>
          <cell r="F618">
            <v>6.7118828955208798</v>
          </cell>
          <cell r="G618">
            <v>19.553648811536</v>
          </cell>
          <cell r="H618">
            <v>29.002130743535101</v>
          </cell>
          <cell r="I618">
            <v>36.113929929064099</v>
          </cell>
          <cell r="J618">
            <v>48.830375599618399</v>
          </cell>
        </row>
        <row r="619">
          <cell r="A619" t="str">
            <v>RHNM-SHNGAHP</v>
          </cell>
          <cell r="B619" t="str">
            <v>VAR_fout</v>
          </cell>
          <cell r="C619" t="str">
            <v>RHNM-SHANGAH</v>
          </cell>
          <cell r="F619">
            <v>0.23080560185916929</v>
          </cell>
          <cell r="G619">
            <v>0.68264534407216015</v>
          </cell>
          <cell r="H619">
            <v>1.0223958645031259</v>
          </cell>
          <cell r="I619">
            <v>1.2822084350826988</v>
          </cell>
          <cell r="J619">
            <v>1.7479217882222309</v>
          </cell>
        </row>
        <row r="620">
          <cell r="A620" t="str">
            <v>RHNM-SHNGAHP</v>
          </cell>
          <cell r="B620" t="str">
            <v>VAR_fin</v>
          </cell>
          <cell r="C620" t="str">
            <v>RNGA</v>
          </cell>
          <cell r="F620">
            <v>0.11900501587802981</v>
          </cell>
          <cell r="G620">
            <v>0.34669590091375868</v>
          </cell>
          <cell r="H620">
            <v>0.51422217630381328</v>
          </cell>
          <cell r="I620">
            <v>0.64031790654369003</v>
          </cell>
          <cell r="J620">
            <v>0.86578680141167463</v>
          </cell>
        </row>
        <row r="621">
          <cell r="A621" t="str">
            <v>RHNM-SHNGAHP</v>
          </cell>
          <cell r="B621" t="str">
            <v>VAR_fin</v>
          </cell>
          <cell r="C621" t="str">
            <v>RHNMELCHPC</v>
          </cell>
          <cell r="F621">
            <v>0.23080560185916929</v>
          </cell>
          <cell r="G621">
            <v>0.68264534407216015</v>
          </cell>
          <cell r="H621">
            <v>1.0223958645031259</v>
          </cell>
          <cell r="I621">
            <v>1.2822084350826988</v>
          </cell>
          <cell r="J621">
            <v>1.7479217882222309</v>
          </cell>
        </row>
        <row r="622">
          <cell r="A622" t="str">
            <v>RHNM-SHNGAHP</v>
          </cell>
          <cell r="B622" t="str">
            <v>VAR_ncap</v>
          </cell>
          <cell r="C622" t="str">
            <v>-</v>
          </cell>
          <cell r="E622">
            <v>1.3929367361717799E-7</v>
          </cell>
          <cell r="F622">
            <v>1.7923030795378301E-2</v>
          </cell>
          <cell r="G622">
            <v>3.5067518844339098E-2</v>
          </cell>
          <cell r="H622">
            <v>2.6378103990327199E-2</v>
          </cell>
          <cell r="I622">
            <v>4.6029164321713098E-2</v>
          </cell>
          <cell r="J622">
            <v>9.1114670127099895E-2</v>
          </cell>
        </row>
        <row r="623">
          <cell r="A623" t="str">
            <v>RHNM-SHNGAHP</v>
          </cell>
          <cell r="B623" t="str">
            <v>VAR_cap</v>
          </cell>
          <cell r="C623" t="str">
            <v>-</v>
          </cell>
          <cell r="E623">
            <v>1.3929367361717799E-7</v>
          </cell>
          <cell r="F623">
            <v>1.7923127986319901E-2</v>
          </cell>
          <cell r="G623">
            <v>5.2990637737301671E-2</v>
          </cell>
          <cell r="H623">
            <v>7.9368577376066229E-2</v>
          </cell>
          <cell r="I623">
            <v>9.9532348525107589E-2</v>
          </cell>
          <cell r="J623">
            <v>0.13567732606379071</v>
          </cell>
        </row>
        <row r="624">
          <cell r="A624" t="str">
            <v>RHES-SHCONBR5</v>
          </cell>
          <cell r="B624" t="str">
            <v>VAR_fout</v>
          </cell>
          <cell r="C624" t="str">
            <v>RHES-SHCON</v>
          </cell>
          <cell r="E624">
            <v>4.6295887325127155E-4</v>
          </cell>
          <cell r="F624">
            <v>2.4141107389890815E-4</v>
          </cell>
          <cell r="G624">
            <v>3.7762725933150002E-4</v>
          </cell>
          <cell r="H624">
            <v>4.2856982735756365E-4</v>
          </cell>
          <cell r="I624">
            <v>4.4389889564483225E-4</v>
          </cell>
          <cell r="J624">
            <v>2.6084614264553109E-4</v>
          </cell>
        </row>
        <row r="625">
          <cell r="A625" t="str">
            <v>RHES-SHCONBR5</v>
          </cell>
          <cell r="B625" t="str">
            <v>VAR_fin</v>
          </cell>
          <cell r="C625" t="str">
            <v>CON</v>
          </cell>
          <cell r="E625">
            <v>4.6295887325127155E-4</v>
          </cell>
          <cell r="F625">
            <v>2.4141107389890815E-4</v>
          </cell>
          <cell r="G625">
            <v>3.7762725933150002E-4</v>
          </cell>
          <cell r="H625">
            <v>4.2856982735756365E-4</v>
          </cell>
          <cell r="I625">
            <v>4.4389889564483225E-4</v>
          </cell>
          <cell r="J625">
            <v>2.6084614264553109E-4</v>
          </cell>
        </row>
        <row r="626">
          <cell r="A626" t="str">
            <v>RHES-SHCONBR5</v>
          </cell>
          <cell r="B626" t="str">
            <v>VAR_ncap</v>
          </cell>
          <cell r="C626" t="str">
            <v>-</v>
          </cell>
          <cell r="E626">
            <v>3.6058374126038098E-5</v>
          </cell>
        </row>
        <row r="627">
          <cell r="A627" t="str">
            <v>RHES-SHCONBR5</v>
          </cell>
          <cell r="B627" t="str">
            <v>VAR_cap</v>
          </cell>
          <cell r="C627" t="str">
            <v>-</v>
          </cell>
          <cell r="E627">
            <v>3.6058374126038098E-5</v>
          </cell>
          <cell r="F627">
            <v>3.5997244440632287E-5</v>
          </cell>
          <cell r="G627">
            <v>3.5992042056196352E-5</v>
          </cell>
          <cell r="H627">
            <v>3.60025141122634E-5</v>
          </cell>
          <cell r="I627">
            <v>3.6012629176856516E-5</v>
          </cell>
          <cell r="J627">
            <v>2.0838687240962925E-5</v>
          </cell>
        </row>
        <row r="628">
          <cell r="A628" t="str">
            <v>RHNS-SHCONBR</v>
          </cell>
          <cell r="B628" t="str">
            <v>VAR_fout</v>
          </cell>
          <cell r="C628" t="str">
            <v>RHNS-SHCON</v>
          </cell>
          <cell r="F628">
            <v>3.8440432337272885E-4</v>
          </cell>
          <cell r="G628">
            <v>3.7596922393469628E-4</v>
          </cell>
          <cell r="H628">
            <v>4.85483409693499E-4</v>
          </cell>
          <cell r="I628">
            <v>4.3193248224700975E-3</v>
          </cell>
          <cell r="J628">
            <v>6.6953073274989047E-2</v>
          </cell>
        </row>
        <row r="629">
          <cell r="A629" t="str">
            <v>RHNS-SHCONBR</v>
          </cell>
          <cell r="B629" t="str">
            <v>VAR_fin</v>
          </cell>
          <cell r="C629" t="str">
            <v>CON</v>
          </cell>
          <cell r="F629">
            <v>3.8440432337272885E-4</v>
          </cell>
          <cell r="G629">
            <v>3.7596922393469628E-4</v>
          </cell>
          <cell r="H629">
            <v>4.85483409693499E-4</v>
          </cell>
          <cell r="I629">
            <v>4.3193248224700975E-3</v>
          </cell>
          <cell r="J629">
            <v>6.6953073274989047E-2</v>
          </cell>
        </row>
        <row r="630">
          <cell r="A630" t="str">
            <v>RHNS-SHCONBR</v>
          </cell>
          <cell r="B630" t="str">
            <v>VAR_ncap</v>
          </cell>
          <cell r="C630" t="str">
            <v>-</v>
          </cell>
          <cell r="F630">
            <v>2.6247721895260401E-5</v>
          </cell>
          <cell r="G630">
            <v>2.2183656902560601E-8</v>
          </cell>
          <cell r="H630">
            <v>7.6055516536321902E-6</v>
          </cell>
          <cell r="I630">
            <v>2.7932160391908202E-4</v>
          </cell>
          <cell r="J630">
            <v>4.5583582697373299E-3</v>
          </cell>
        </row>
        <row r="631">
          <cell r="A631" t="str">
            <v>RHNS-SHCONBR</v>
          </cell>
          <cell r="B631" t="str">
            <v>VAR_cap</v>
          </cell>
          <cell r="C631" t="str">
            <v>-</v>
          </cell>
          <cell r="F631">
            <v>2.6247721895260401E-5</v>
          </cell>
          <cell r="G631">
            <v>2.62699055521629E-5</v>
          </cell>
          <cell r="H631">
            <v>3.3875457205795098E-5</v>
          </cell>
          <cell r="I631">
            <v>3.13197061124877E-4</v>
          </cell>
          <cell r="J631">
            <v>4.8715553308622097E-3</v>
          </cell>
        </row>
        <row r="632">
          <cell r="A632" t="str">
            <v>D-RHEM_SOLELC</v>
          </cell>
          <cell r="B632" t="str">
            <v>VAR_fout</v>
          </cell>
          <cell r="C632" t="str">
            <v>ELC5</v>
          </cell>
          <cell r="D632">
            <v>7.4623419573501633E-4</v>
          </cell>
          <cell r="E632">
            <v>2.7786513289457368E-4</v>
          </cell>
          <cell r="F632">
            <v>3.0157719802075043E-4</v>
          </cell>
          <cell r="G632">
            <v>1.4950477649841788E-4</v>
          </cell>
          <cell r="H632">
            <v>2.9514968769136249E-4</v>
          </cell>
          <cell r="I632">
            <v>2.2484794199949005E-4</v>
          </cell>
          <cell r="J632">
            <v>1.3279225171443403E-4</v>
          </cell>
        </row>
        <row r="633">
          <cell r="A633" t="str">
            <v>D-RHEM_SOLELC</v>
          </cell>
          <cell r="B633" t="str">
            <v>VAR_fout</v>
          </cell>
          <cell r="C633" t="str">
            <v>RHEM_ELC</v>
          </cell>
          <cell r="D633">
            <v>0.86173699159011363</v>
          </cell>
          <cell r="E633">
            <v>1.2873053256049938</v>
          </cell>
          <cell r="F633">
            <v>1.7883043915109123</v>
          </cell>
          <cell r="G633">
            <v>1.9388689967751853</v>
          </cell>
          <cell r="H633">
            <v>2.0375896357852015</v>
          </cell>
          <cell r="I633">
            <v>2.1416338163214177</v>
          </cell>
          <cell r="J633">
            <v>2.3658094184439458</v>
          </cell>
        </row>
        <row r="634">
          <cell r="A634" t="str">
            <v>D-RHEM_SOLELC</v>
          </cell>
          <cell r="B634" t="str">
            <v>VAR_fin</v>
          </cell>
          <cell r="C634" t="str">
            <v>RHEM_SOL_ELC</v>
          </cell>
          <cell r="D634">
            <v>0.86248322578584768</v>
          </cell>
          <cell r="E634">
            <v>1.2875826188714128</v>
          </cell>
          <cell r="F634">
            <v>1.7886059687089322</v>
          </cell>
          <cell r="G634">
            <v>1.9390185015516839</v>
          </cell>
          <cell r="H634">
            <v>2.0378847854728934</v>
          </cell>
          <cell r="I634">
            <v>2.1418586642634185</v>
          </cell>
          <cell r="J634">
            <v>2.3659422106956582</v>
          </cell>
        </row>
        <row r="635">
          <cell r="A635" t="str">
            <v>ITOT-SWHCONBR7</v>
          </cell>
          <cell r="B635" t="str">
            <v>VAR_fout</v>
          </cell>
          <cell r="C635" t="str">
            <v>ITOT-ELS</v>
          </cell>
          <cell r="J635">
            <v>1.0976904464143253E-3</v>
          </cell>
        </row>
        <row r="636">
          <cell r="A636" t="str">
            <v>ITOT-SWHCONBR7</v>
          </cell>
          <cell r="B636" t="str">
            <v>VAR_fout</v>
          </cell>
          <cell r="C636" t="str">
            <v>ITOT-SWHC</v>
          </cell>
          <cell r="J636">
            <v>1.9141268171450328E-4</v>
          </cell>
        </row>
        <row r="637">
          <cell r="A637" t="str">
            <v>ITOT-SWHCONBR7</v>
          </cell>
          <cell r="B637" t="str">
            <v>VAR_fin</v>
          </cell>
          <cell r="C637" t="str">
            <v>CON</v>
          </cell>
          <cell r="J637">
            <v>1.2891031281288279E-3</v>
          </cell>
        </row>
        <row r="638">
          <cell r="A638" t="str">
            <v>ITOT-SWHCONBR7</v>
          </cell>
          <cell r="B638" t="str">
            <v>VAR_ncap</v>
          </cell>
          <cell r="C638" t="str">
            <v>-</v>
          </cell>
          <cell r="J638">
            <v>6.9882024151950194E-5</v>
          </cell>
        </row>
        <row r="639">
          <cell r="A639" t="str">
            <v>ITOT-SWHCONBR7</v>
          </cell>
          <cell r="B639" t="str">
            <v>VAR_cap</v>
          </cell>
          <cell r="C639" t="str">
            <v>-</v>
          </cell>
          <cell r="J639">
            <v>6.9882024151950194E-5</v>
          </cell>
        </row>
        <row r="640">
          <cell r="A640" t="str">
            <v>RHNS-SHSTG-ELCHP</v>
          </cell>
          <cell r="B640" t="str">
            <v>VAR_fout</v>
          </cell>
          <cell r="C640" t="str">
            <v>RHNS-SHAELCH</v>
          </cell>
          <cell r="E640">
            <v>2.3211123211717713E-5</v>
          </cell>
          <cell r="F640">
            <v>0.13803631854017906</v>
          </cell>
          <cell r="G640">
            <v>0.28729157447679154</v>
          </cell>
          <cell r="H640">
            <v>0.30765569609307125</v>
          </cell>
          <cell r="I640">
            <v>0.35674064264868771</v>
          </cell>
          <cell r="J640">
            <v>0.48370821774765571</v>
          </cell>
        </row>
        <row r="641">
          <cell r="A641" t="str">
            <v>RHNS-SHSTG-ELCHP</v>
          </cell>
          <cell r="B641" t="str">
            <v>VAR_fout</v>
          </cell>
          <cell r="C641" t="str">
            <v>AUX_RHNS-SHSTG-ELCHP_OUT</v>
          </cell>
          <cell r="E641">
            <v>2.323433433492944E-5</v>
          </cell>
          <cell r="F641">
            <v>0.13817435485871918</v>
          </cell>
          <cell r="G641">
            <v>0.28757886605126809</v>
          </cell>
          <cell r="H641">
            <v>0.30796335178916445</v>
          </cell>
          <cell r="I641">
            <v>0.35709738329133628</v>
          </cell>
          <cell r="J641">
            <v>0.48419192596540322</v>
          </cell>
        </row>
        <row r="642">
          <cell r="A642" t="str">
            <v>RHNS-SHSTG-ELCHP</v>
          </cell>
          <cell r="B642" t="str">
            <v>VAR_fin</v>
          </cell>
          <cell r="C642" t="str">
            <v>RHNS-SHAELCH</v>
          </cell>
          <cell r="E642">
            <v>2.403428181689342E-5</v>
          </cell>
          <cell r="F642">
            <v>0.13803646326691443</v>
          </cell>
          <cell r="G642">
            <v>0.28729234209198035</v>
          </cell>
          <cell r="H642">
            <v>0.30765658237117088</v>
          </cell>
          <cell r="I642">
            <v>0.35674272477638069</v>
          </cell>
          <cell r="J642">
            <v>0.48371034624068354</v>
          </cell>
        </row>
        <row r="643">
          <cell r="A643" t="str">
            <v>RHNS-SHSTG-ELCHP</v>
          </cell>
          <cell r="B643" t="str">
            <v>VAR_ncap</v>
          </cell>
          <cell r="C643" t="str">
            <v>-</v>
          </cell>
          <cell r="D643">
            <v>3.9079484732647497E-6</v>
          </cell>
          <cell r="E643">
            <v>6.6766431670196996E-6</v>
          </cell>
          <cell r="F643">
            <v>1.41621447996448E-2</v>
          </cell>
          <cell r="G643">
            <v>1.16517987464943E-2</v>
          </cell>
          <cell r="H643">
            <v>6.8812840355867598E-3</v>
          </cell>
          <cell r="I643">
            <v>2.0959816146156499E-2</v>
          </cell>
          <cell r="J643">
            <v>2.8095696319468001E-2</v>
          </cell>
        </row>
        <row r="644">
          <cell r="A644" t="str">
            <v>RHNS-SHSTG-ELCHP</v>
          </cell>
          <cell r="B644" t="str">
            <v>VAR_cap</v>
          </cell>
          <cell r="C644" t="str">
            <v>-</v>
          </cell>
          <cell r="D644">
            <v>3.9079484732647497E-6</v>
          </cell>
          <cell r="E644">
            <v>7.9781224879224899E-6</v>
          </cell>
          <cell r="F644">
            <v>1.4167611304988902E-2</v>
          </cell>
          <cell r="G644">
            <v>2.5816935521172955E-2</v>
          </cell>
          <cell r="H644">
            <v>3.2684045734398016E-2</v>
          </cell>
          <cell r="I644">
            <v>3.8292028799904947E-2</v>
          </cell>
          <cell r="J644">
            <v>4.6207372473943194E-2</v>
          </cell>
        </row>
        <row r="645">
          <cell r="A645" t="str">
            <v>RHNS-SHSOLBR</v>
          </cell>
          <cell r="B645" t="str">
            <v>VAR_fout</v>
          </cell>
          <cell r="C645" t="str">
            <v>RHNS-SHASOL</v>
          </cell>
          <cell r="E645">
            <v>1.3402597776004371E-2</v>
          </cell>
          <cell r="F645">
            <v>9.8519959457132528E-5</v>
          </cell>
          <cell r="G645">
            <v>2.1019849537185146E-4</v>
          </cell>
          <cell r="H645">
            <v>2.8684539597010613E-4</v>
          </cell>
          <cell r="I645">
            <v>3.6768474419365626E-4</v>
          </cell>
          <cell r="J645">
            <v>7.2138084718378643E-4</v>
          </cell>
        </row>
        <row r="646">
          <cell r="A646" t="str">
            <v>RHNS-SHSOLBR</v>
          </cell>
          <cell r="B646" t="str">
            <v>VAR_fin</v>
          </cell>
          <cell r="C646" t="str">
            <v>SOL</v>
          </cell>
          <cell r="E646">
            <v>1.3402597776004371E-2</v>
          </cell>
          <cell r="F646">
            <v>9.8519959457132528E-5</v>
          </cell>
          <cell r="G646">
            <v>2.1019849537185146E-4</v>
          </cell>
          <cell r="H646">
            <v>2.8684539597010613E-4</v>
          </cell>
          <cell r="I646">
            <v>3.6768474419365626E-4</v>
          </cell>
          <cell r="J646">
            <v>7.2138084718378643E-4</v>
          </cell>
        </row>
        <row r="647">
          <cell r="A647" t="str">
            <v>RHNS-SHSOLBR</v>
          </cell>
          <cell r="B647" t="str">
            <v>VAR_ncap</v>
          </cell>
          <cell r="C647" t="str">
            <v>-</v>
          </cell>
          <cell r="E647">
            <v>2.25885856364444E-3</v>
          </cell>
          <cell r="F647">
            <v>2.0226845665191E-7</v>
          </cell>
          <cell r="G647">
            <v>6.0551136685605396E-7</v>
          </cell>
          <cell r="H647">
            <v>4.56348459651125E-5</v>
          </cell>
          <cell r="I647">
            <v>5.4522556439929999E-5</v>
          </cell>
          <cell r="J647">
            <v>1.03022921941984E-4</v>
          </cell>
        </row>
        <row r="648">
          <cell r="A648" t="str">
            <v>RHNS-SHSOLBR</v>
          </cell>
          <cell r="B648" t="str">
            <v>VAR_cap</v>
          </cell>
          <cell r="C648" t="str">
            <v>-</v>
          </cell>
          <cell r="E648">
            <v>2.25885856364444E-3</v>
          </cell>
          <cell r="F648">
            <v>3.9470053739432999E-4</v>
          </cell>
          <cell r="G648">
            <v>3.5052322138435978E-4</v>
          </cell>
          <cell r="H648">
            <v>2.2672745733154495E-4</v>
          </cell>
          <cell r="I648">
            <v>1.0050490121020171E-4</v>
          </cell>
          <cell r="J648">
            <v>1.6184223326156581E-4</v>
          </cell>
        </row>
        <row r="649">
          <cell r="A649" t="str">
            <v>RHES-SHPLTBR</v>
          </cell>
          <cell r="B649" t="str">
            <v>VAR_fout</v>
          </cell>
          <cell r="C649" t="str">
            <v>RHES-SHPLT</v>
          </cell>
          <cell r="D649">
            <v>1.2957598019517329</v>
          </cell>
          <cell r="E649">
            <v>1.486884410704828</v>
          </cell>
          <cell r="F649">
            <v>3.340352734481529E-2</v>
          </cell>
          <cell r="G649">
            <v>5.9797626041686869E-2</v>
          </cell>
          <cell r="H649">
            <v>7.7884198405363828E-2</v>
          </cell>
          <cell r="I649">
            <v>9.1108704443004132E-2</v>
          </cell>
          <cell r="J649">
            <v>0.11654047876503455</v>
          </cell>
        </row>
        <row r="650">
          <cell r="A650" t="str">
            <v>RHES-SHPLTBR</v>
          </cell>
          <cell r="B650" t="str">
            <v>VAR_fin</v>
          </cell>
          <cell r="C650" t="str">
            <v>RPLT</v>
          </cell>
          <cell r="D650">
            <v>1.4397331132797024</v>
          </cell>
          <cell r="E650">
            <v>1.6520937896720305</v>
          </cell>
          <cell r="F650">
            <v>4.5289301424919839E-2</v>
          </cell>
          <cell r="G650">
            <v>8.0483946203733031E-2</v>
          </cell>
          <cell r="H650">
            <v>0.1043744812584311</v>
          </cell>
          <cell r="I650">
            <v>0.12177035063793043</v>
          </cell>
          <cell r="J650">
            <v>0.15493879428868279</v>
          </cell>
        </row>
        <row r="651">
          <cell r="A651" t="str">
            <v>RHES-SHPLTBR</v>
          </cell>
          <cell r="B651" t="str">
            <v>VAR_ncap</v>
          </cell>
          <cell r="C651" t="str">
            <v>-</v>
          </cell>
          <cell r="E651">
            <v>1.54424397447957E-2</v>
          </cell>
          <cell r="F651">
            <v>1.35528027282211E-8</v>
          </cell>
          <cell r="G651">
            <v>1.61201294613313E-7</v>
          </cell>
          <cell r="H651">
            <v>3.2346218361478801E-3</v>
          </cell>
          <cell r="I651">
            <v>4.1304905395146202E-3</v>
          </cell>
          <cell r="J651">
            <v>5.0517479914741698E-3</v>
          </cell>
        </row>
        <row r="652">
          <cell r="A652" t="str">
            <v>RHES-SHPLTBR</v>
          </cell>
          <cell r="B652" t="str">
            <v>VAR_cap</v>
          </cell>
          <cell r="C652" t="str">
            <v>-</v>
          </cell>
          <cell r="D652">
            <v>0.104681131456585</v>
          </cell>
          <cell r="E652">
            <v>0.1201235712013807</v>
          </cell>
          <cell r="F652">
            <v>5.9807326428204938E-3</v>
          </cell>
          <cell r="G652">
            <v>5.9808880077990983E-3</v>
          </cell>
          <cell r="H652">
            <v>6.299005386146396E-3</v>
          </cell>
          <cell r="I652">
            <v>7.3651720100655722E-3</v>
          </cell>
          <cell r="J652">
            <v>9.4175832430887993E-3</v>
          </cell>
        </row>
        <row r="653">
          <cell r="A653" t="str">
            <v>RHES-SHCONBR6</v>
          </cell>
          <cell r="B653" t="str">
            <v>VAR_fout</v>
          </cell>
          <cell r="C653" t="str">
            <v>RHES-SHCON</v>
          </cell>
          <cell r="E653">
            <v>7.0645036460325467E-5</v>
          </cell>
          <cell r="F653">
            <v>4.5783751513097695E-5</v>
          </cell>
          <cell r="G653">
            <v>4.7295219991675301E-5</v>
          </cell>
          <cell r="H653">
            <v>6.1401845540535311E-5</v>
          </cell>
          <cell r="I653">
            <v>6.5151545275447191E-5</v>
          </cell>
          <cell r="J653">
            <v>4.0788409503736642E-5</v>
          </cell>
        </row>
        <row r="654">
          <cell r="A654" t="str">
            <v>RHES-SHCONBR6</v>
          </cell>
          <cell r="B654" t="str">
            <v>VAR_fin</v>
          </cell>
          <cell r="C654" t="str">
            <v>CON</v>
          </cell>
          <cell r="E654">
            <v>7.0645036460325467E-5</v>
          </cell>
          <cell r="F654">
            <v>4.5783751513097695E-5</v>
          </cell>
          <cell r="G654">
            <v>4.7295219991675301E-5</v>
          </cell>
          <cell r="H654">
            <v>6.1401845540535311E-5</v>
          </cell>
          <cell r="I654">
            <v>6.5151545275447191E-5</v>
          </cell>
          <cell r="J654">
            <v>4.0788409503736642E-5</v>
          </cell>
        </row>
        <row r="655">
          <cell r="A655" t="str">
            <v>RHES-SHCONBR6</v>
          </cell>
          <cell r="B655" t="str">
            <v>VAR_ncap</v>
          </cell>
          <cell r="C655" t="str">
            <v>-</v>
          </cell>
          <cell r="E655">
            <v>4.363847369145E-6</v>
          </cell>
        </row>
        <row r="656">
          <cell r="A656" t="str">
            <v>RHES-SHCONBR6</v>
          </cell>
          <cell r="B656" t="str">
            <v>VAR_cap</v>
          </cell>
          <cell r="C656" t="str">
            <v>-</v>
          </cell>
          <cell r="E656">
            <v>4.363847369145E-6</v>
          </cell>
          <cell r="F656">
            <v>4.3480975485236594E-6</v>
          </cell>
          <cell r="G656">
            <v>4.3399519083450986E-6</v>
          </cell>
          <cell r="H656">
            <v>4.3319965521053256E-6</v>
          </cell>
          <cell r="I656">
            <v>4.363847369145E-6</v>
          </cell>
          <cell r="J656">
            <v>2.5227446806176199E-6</v>
          </cell>
        </row>
        <row r="657">
          <cell r="A657" t="str">
            <v>RHSA-WHPLTBR</v>
          </cell>
          <cell r="B657" t="str">
            <v>VAR_fout</v>
          </cell>
          <cell r="C657" t="str">
            <v>RHSA-WHPLT</v>
          </cell>
          <cell r="D657">
            <v>0.16979416290968885</v>
          </cell>
          <cell r="E657">
            <v>0.19483722509220402</v>
          </cell>
          <cell r="F657">
            <v>8.2930886575537557E-2</v>
          </cell>
          <cell r="G657">
            <v>0.13925025006472677</v>
          </cell>
          <cell r="H657">
            <v>0.18272364499888402</v>
          </cell>
          <cell r="I657">
            <v>0.22309679583210512</v>
          </cell>
          <cell r="J657">
            <v>0.30616034339538656</v>
          </cell>
        </row>
        <row r="658">
          <cell r="A658" t="str">
            <v>RHSA-WHPLTBR</v>
          </cell>
          <cell r="B658" t="str">
            <v>VAR_fin</v>
          </cell>
          <cell r="C658" t="str">
            <v>RPLT</v>
          </cell>
          <cell r="D658">
            <v>0.27167066065550233</v>
          </cell>
          <cell r="E658">
            <v>0.31173956014752607</v>
          </cell>
          <cell r="F658">
            <v>0.18178039548628347</v>
          </cell>
          <cell r="G658">
            <v>0.30016812311074098</v>
          </cell>
          <cell r="H658">
            <v>0.38913264299092359</v>
          </cell>
          <cell r="I658">
            <v>0.46953903869355462</v>
          </cell>
          <cell r="J658">
            <v>0.62894205943826842</v>
          </cell>
        </row>
        <row r="659">
          <cell r="A659" t="str">
            <v>RHSA-WHPLTBR</v>
          </cell>
          <cell r="B659" t="str">
            <v>VAR_ncap</v>
          </cell>
          <cell r="C659" t="str">
            <v>-</v>
          </cell>
          <cell r="E659">
            <v>1.95022187787249E-3</v>
          </cell>
          <cell r="F659">
            <v>2.8862713371546399E-8</v>
          </cell>
          <cell r="G659">
            <v>2.5657198421957902E-7</v>
          </cell>
          <cell r="H659">
            <v>8.8172043994549504E-3</v>
          </cell>
          <cell r="I659">
            <v>6.4340104501330701E-3</v>
          </cell>
          <cell r="J659">
            <v>1.2528290646131099E-2</v>
          </cell>
        </row>
        <row r="660">
          <cell r="A660" t="str">
            <v>RHSA-WHPLTBR</v>
          </cell>
          <cell r="B660" t="str">
            <v>VAR_cap</v>
          </cell>
          <cell r="C660" t="str">
            <v>-</v>
          </cell>
          <cell r="D660">
            <v>1.12410901121583E-2</v>
          </cell>
          <cell r="E660">
            <v>1.3191297702973838E-2</v>
          </cell>
          <cell r="F660">
            <v>1.2273591885311245E-2</v>
          </cell>
          <cell r="G660">
            <v>1.2273627151775995E-2</v>
          </cell>
          <cell r="H660">
            <v>1.2493590937314794E-2</v>
          </cell>
          <cell r="I660">
            <v>1.525131345514175E-2</v>
          </cell>
          <cell r="J660">
            <v>2.0927251009808391E-2</v>
          </cell>
        </row>
        <row r="661">
          <cell r="A661" t="str">
            <v>ITOT-SWHCONBR8</v>
          </cell>
          <cell r="B661" t="str">
            <v>VAR_fout</v>
          </cell>
          <cell r="C661" t="str">
            <v>ITOT-ELS</v>
          </cell>
          <cell r="J661">
            <v>2.32056030402856E-5</v>
          </cell>
        </row>
        <row r="662">
          <cell r="A662" t="str">
            <v>ITOT-SWHCONBR8</v>
          </cell>
          <cell r="B662" t="str">
            <v>VAR_fout</v>
          </cell>
          <cell r="C662" t="str">
            <v>ITOT-SWHC</v>
          </cell>
          <cell r="J662">
            <v>8.9597314474662934E-5</v>
          </cell>
        </row>
        <row r="663">
          <cell r="A663" t="str">
            <v>ITOT-SWHCONBR8</v>
          </cell>
          <cell r="B663" t="str">
            <v>VAR_fin</v>
          </cell>
          <cell r="C663" t="str">
            <v>CON</v>
          </cell>
          <cell r="J663">
            <v>1.1280291751494836E-4</v>
          </cell>
        </row>
        <row r="664">
          <cell r="A664" t="str">
            <v>ITOT-SWHCONBR8</v>
          </cell>
          <cell r="B664" t="str">
            <v>VAR_ncap</v>
          </cell>
          <cell r="C664" t="str">
            <v>-</v>
          </cell>
          <cell r="J664">
            <v>5.6715091163901699E-6</v>
          </cell>
        </row>
        <row r="665">
          <cell r="A665" t="str">
            <v>ITOT-SWHCONBR8</v>
          </cell>
          <cell r="B665" t="str">
            <v>VAR_cap</v>
          </cell>
          <cell r="C665" t="str">
            <v>-</v>
          </cell>
          <cell r="J665">
            <v>5.6715091163901699E-6</v>
          </cell>
        </row>
        <row r="666">
          <cell r="A666" t="str">
            <v>SCOM-ELCSPECADV</v>
          </cell>
          <cell r="B666" t="str">
            <v>VAR_ncap</v>
          </cell>
          <cell r="C666" t="str">
            <v>-</v>
          </cell>
          <cell r="G666">
            <v>1.34498540841614E-8</v>
          </cell>
          <cell r="H666">
            <v>2.7223763929772499E-8</v>
          </cell>
          <cell r="I666">
            <v>1.97519389500762E-8</v>
          </cell>
          <cell r="J666">
            <v>1.53808243050535E-8</v>
          </cell>
        </row>
        <row r="667">
          <cell r="A667" t="str">
            <v>SCOM-ELCSPECADV</v>
          </cell>
          <cell r="B667" t="str">
            <v>VAR_cap</v>
          </cell>
          <cell r="C667" t="str">
            <v>-</v>
          </cell>
          <cell r="G667">
            <v>-1.8611491851515E-8</v>
          </cell>
          <cell r="H667">
            <v>-4.9043697159121007E-8</v>
          </cell>
          <cell r="I667">
            <v>-9.7770977377724991E-8</v>
          </cell>
          <cell r="J667">
            <v>-4.33971790535868E-8</v>
          </cell>
        </row>
        <row r="668">
          <cell r="A668" t="str">
            <v>RHSA-WHLTHRD</v>
          </cell>
          <cell r="B668" t="str">
            <v>VAR_fout</v>
          </cell>
          <cell r="C668" t="str">
            <v>RHSA-WHLTHRD</v>
          </cell>
          <cell r="D668">
            <v>1.3170438726158857</v>
          </cell>
          <cell r="E668">
            <v>1.4633760879942763</v>
          </cell>
          <cell r="F668">
            <v>0.95324676538258801</v>
          </cell>
          <cell r="G668">
            <v>1.1752061558608065</v>
          </cell>
          <cell r="H668">
            <v>1.3268371113933075</v>
          </cell>
          <cell r="I668">
            <v>1.4469580706705889</v>
          </cell>
          <cell r="J668">
            <v>1.6804127313284261</v>
          </cell>
        </row>
        <row r="669">
          <cell r="A669" t="str">
            <v>RHSA-WHLTHRD</v>
          </cell>
          <cell r="B669" t="str">
            <v>VAR_fin</v>
          </cell>
          <cell r="C669" t="str">
            <v>RHSA_LTH</v>
          </cell>
          <cell r="D669">
            <v>1.7104465878128388</v>
          </cell>
          <cell r="E669">
            <v>1.8955648808216019</v>
          </cell>
          <cell r="F669">
            <v>1.759987158317069</v>
          </cell>
          <cell r="G669">
            <v>2.1163499489384674</v>
          </cell>
          <cell r="H669">
            <v>2.3499034594077752</v>
          </cell>
          <cell r="I669">
            <v>2.5308156835622184</v>
          </cell>
          <cell r="J669">
            <v>2.8559804928285444</v>
          </cell>
        </row>
        <row r="670">
          <cell r="A670" t="str">
            <v>RHSA-WHLTHRD</v>
          </cell>
          <cell r="B670" t="str">
            <v>VAR_ncap</v>
          </cell>
          <cell r="C670" t="str">
            <v>-</v>
          </cell>
          <cell r="E670">
            <v>1.37242403027755E-2</v>
          </cell>
          <cell r="F670">
            <v>1.06351583816536E-2</v>
          </cell>
          <cell r="G670">
            <v>9.4423014519040803E-3</v>
          </cell>
          <cell r="H670">
            <v>4.7861044089935897E-2</v>
          </cell>
          <cell r="I670">
            <v>2.8202453855260601E-2</v>
          </cell>
          <cell r="J670">
            <v>3.5096514774873099E-2</v>
          </cell>
        </row>
        <row r="671">
          <cell r="A671" t="str">
            <v>RHSA-WHLTHRD</v>
          </cell>
          <cell r="B671" t="str">
            <v>VAR_cap</v>
          </cell>
          <cell r="C671" t="str">
            <v>-</v>
          </cell>
          <cell r="D671">
            <v>0.13737412127568699</v>
          </cell>
          <cell r="E671">
            <v>0.13887036865173288</v>
          </cell>
          <cell r="F671">
            <v>9.4153214916445085E-2</v>
          </cell>
          <cell r="G671">
            <v>8.7417328913888787E-2</v>
          </cell>
          <cell r="H671">
            <v>0.12728740590616611</v>
          </cell>
          <cell r="I671">
            <v>0.14212271344058799</v>
          </cell>
          <cell r="J671">
            <v>0.16109797580949498</v>
          </cell>
        </row>
        <row r="672">
          <cell r="A672" t="str">
            <v>RHES-SHCONBR7</v>
          </cell>
          <cell r="B672" t="str">
            <v>VAR_fout</v>
          </cell>
          <cell r="C672" t="str">
            <v>RHES-SHCON</v>
          </cell>
          <cell r="E672">
            <v>6.6229839005960307E-5</v>
          </cell>
          <cell r="F672">
            <v>4.3585643598653752E-5</v>
          </cell>
          <cell r="G672">
            <v>4.4300847627605135E-5</v>
          </cell>
          <cell r="H672">
            <v>5.7720239580990493E-5</v>
          </cell>
          <cell r="I672">
            <v>6.1185165459068638E-5</v>
          </cell>
          <cell r="J672">
            <v>3.8453575455548033E-5</v>
          </cell>
        </row>
        <row r="673">
          <cell r="A673" t="str">
            <v>RHES-SHCONBR7</v>
          </cell>
          <cell r="B673" t="str">
            <v>VAR_fin</v>
          </cell>
          <cell r="C673" t="str">
            <v>CON</v>
          </cell>
          <cell r="E673">
            <v>6.6229839005960307E-5</v>
          </cell>
          <cell r="F673">
            <v>4.3585643598653752E-5</v>
          </cell>
          <cell r="G673">
            <v>4.4300847627605135E-5</v>
          </cell>
          <cell r="H673">
            <v>5.7720239580990493E-5</v>
          </cell>
          <cell r="I673">
            <v>6.1185165459068638E-5</v>
          </cell>
          <cell r="J673">
            <v>3.8453575455548033E-5</v>
          </cell>
        </row>
        <row r="674">
          <cell r="A674" t="str">
            <v>RHES-SHCONBR7</v>
          </cell>
          <cell r="B674" t="str">
            <v>VAR_ncap</v>
          </cell>
          <cell r="C674" t="str">
            <v>-</v>
          </cell>
          <cell r="E674">
            <v>4.0071348101436602E-6</v>
          </cell>
        </row>
        <row r="675">
          <cell r="A675" t="str">
            <v>RHES-SHCONBR7</v>
          </cell>
          <cell r="B675" t="str">
            <v>VAR_cap</v>
          </cell>
          <cell r="C675" t="str">
            <v>-</v>
          </cell>
          <cell r="E675">
            <v>4.0071348101436602E-6</v>
          </cell>
          <cell r="F675">
            <v>3.9920224589859286E-6</v>
          </cell>
          <cell r="G675">
            <v>3.9842070966271104E-6</v>
          </cell>
          <cell r="H675">
            <v>3.9761159323976148E-6</v>
          </cell>
          <cell r="I675">
            <v>4.0071348101436602E-6</v>
          </cell>
          <cell r="J675">
            <v>2.31652878106694E-6</v>
          </cell>
        </row>
        <row r="676">
          <cell r="A676" t="str">
            <v>ITOT-SWHCONBR9</v>
          </cell>
          <cell r="B676" t="str">
            <v>VAR_fout</v>
          </cell>
          <cell r="C676" t="str">
            <v>ITOT-ELS</v>
          </cell>
          <cell r="J676">
            <v>9.6785404788805918E-6</v>
          </cell>
        </row>
        <row r="677">
          <cell r="A677" t="str">
            <v>ITOT-SWHCONBR9</v>
          </cell>
          <cell r="B677" t="str">
            <v>VAR_fout</v>
          </cell>
          <cell r="C677" t="str">
            <v>ITOT-SWHC</v>
          </cell>
          <cell r="J677">
            <v>5.6976312308012816E-5</v>
          </cell>
        </row>
        <row r="678">
          <cell r="A678" t="str">
            <v>ITOT-SWHCONBR9</v>
          </cell>
          <cell r="B678" t="str">
            <v>VAR_fin</v>
          </cell>
          <cell r="C678" t="str">
            <v>CON</v>
          </cell>
          <cell r="J678">
            <v>6.6793054354113613E-5</v>
          </cell>
        </row>
        <row r="679">
          <cell r="A679" t="str">
            <v>ITOT-SWHCONBR9</v>
          </cell>
          <cell r="B679" t="str">
            <v>VAR_ncap</v>
          </cell>
          <cell r="C679" t="str">
            <v>-</v>
          </cell>
          <cell r="J679">
            <v>3.1683736697581501E-6</v>
          </cell>
        </row>
        <row r="680">
          <cell r="A680" t="str">
            <v>ITOT-SWHCONBR9</v>
          </cell>
          <cell r="B680" t="str">
            <v>VAR_cap</v>
          </cell>
          <cell r="C680" t="str">
            <v>-</v>
          </cell>
          <cell r="J680">
            <v>3.1683736697581501E-6</v>
          </cell>
        </row>
        <row r="681">
          <cell r="A681" t="str">
            <v>SCOM-SHPLTBR</v>
          </cell>
          <cell r="B681" t="str">
            <v>VAR_fout</v>
          </cell>
          <cell r="C681" t="str">
            <v>SCOM-SHPLT</v>
          </cell>
          <cell r="D681">
            <v>1.8770715308791384</v>
          </cell>
          <cell r="E681">
            <v>2.1600830818836454</v>
          </cell>
          <cell r="F681">
            <v>0.42489618913846366</v>
          </cell>
          <cell r="G681">
            <v>0.71393835559870633</v>
          </cell>
          <cell r="H681">
            <v>0.86669651353355481</v>
          </cell>
          <cell r="I681">
            <v>1.016197433970635</v>
          </cell>
          <cell r="J681">
            <v>1.2444736950603308</v>
          </cell>
        </row>
        <row r="682">
          <cell r="A682" t="str">
            <v>SCOM-SHPLTBR</v>
          </cell>
          <cell r="B682" t="str">
            <v>VAR_fin</v>
          </cell>
          <cell r="C682" t="str">
            <v>SCOMPLTBRC</v>
          </cell>
          <cell r="D682">
            <v>1.8770715308791384</v>
          </cell>
          <cell r="E682">
            <v>2.1600830818836454</v>
          </cell>
          <cell r="F682">
            <v>0.42489618913846366</v>
          </cell>
          <cell r="G682">
            <v>0.71393835559870633</v>
          </cell>
          <cell r="H682">
            <v>0.86669651353355481</v>
          </cell>
          <cell r="I682">
            <v>1.016197433970635</v>
          </cell>
          <cell r="J682">
            <v>1.2444736950603308</v>
          </cell>
        </row>
        <row r="683">
          <cell r="A683" t="str">
            <v>SCOM-SHPLTBR</v>
          </cell>
          <cell r="B683" t="str">
            <v>VAR_fin</v>
          </cell>
          <cell r="C683" t="str">
            <v>SPLT</v>
          </cell>
          <cell r="D683">
            <v>2.0856350343101524</v>
          </cell>
          <cell r="E683">
            <v>2.4000923132040493</v>
          </cell>
          <cell r="F683">
            <v>0.63650852920184731</v>
          </cell>
          <cell r="G683">
            <v>1.0634489422894986</v>
          </cell>
          <cell r="H683">
            <v>1.2909844397842793</v>
          </cell>
          <cell r="I683">
            <v>1.5136729576263734</v>
          </cell>
          <cell r="J683">
            <v>1.8537009794738641</v>
          </cell>
        </row>
        <row r="684">
          <cell r="A684" t="str">
            <v>SCOM-SHPLTBR</v>
          </cell>
          <cell r="B684" t="str">
            <v>VAR_ncap</v>
          </cell>
          <cell r="C684" t="str">
            <v>-</v>
          </cell>
          <cell r="D684">
            <v>2.8025201039842002E-7</v>
          </cell>
          <cell r="E684">
            <v>2.43370912856242E-2</v>
          </cell>
          <cell r="F684">
            <v>7.7838366621668505E-8</v>
          </cell>
          <cell r="G684">
            <v>4.6126795791049901E-7</v>
          </cell>
          <cell r="H684">
            <v>4.7313580169218897E-2</v>
          </cell>
          <cell r="I684">
            <v>3.7466372182546399E-2</v>
          </cell>
          <cell r="J684">
            <v>5.7401893675413602E-2</v>
          </cell>
        </row>
        <row r="685">
          <cell r="A685" t="str">
            <v>SCOM-SHPLTBR</v>
          </cell>
          <cell r="B685" t="str">
            <v>VAR_cap</v>
          </cell>
          <cell r="C685" t="str">
            <v>-</v>
          </cell>
          <cell r="D685">
            <v>0.15051114837620441</v>
          </cell>
          <cell r="E685">
            <v>0.17484821030851186</v>
          </cell>
          <cell r="F685">
            <v>7.2127868261988193E-2</v>
          </cell>
          <cell r="G685">
            <v>7.2127131677862111E-2</v>
          </cell>
          <cell r="H685">
            <v>7.217583572267279E-2</v>
          </cell>
          <cell r="I685">
            <v>8.4780113504563548E-2</v>
          </cell>
          <cell r="J685">
            <v>0.10460577266053946</v>
          </cell>
        </row>
        <row r="686">
          <cell r="A686" t="str">
            <v>ITOT-SWHELCHP</v>
          </cell>
          <cell r="B686" t="str">
            <v>VAR_fout</v>
          </cell>
          <cell r="C686" t="str">
            <v>ITOT-SWHAELCH</v>
          </cell>
          <cell r="D686">
            <v>1.1081457819623317</v>
          </cell>
          <cell r="E686">
            <v>1.4007935947799854</v>
          </cell>
          <cell r="F686">
            <v>1.4010974392223721</v>
          </cell>
          <cell r="G686">
            <v>3.9852394058452272</v>
          </cell>
          <cell r="H686">
            <v>6.455452827774991</v>
          </cell>
          <cell r="I686">
            <v>10.219032562890789</v>
          </cell>
          <cell r="J686">
            <v>13.127037396767655</v>
          </cell>
        </row>
        <row r="687">
          <cell r="A687" t="str">
            <v>ITOT-SWHELCHP</v>
          </cell>
          <cell r="B687" t="str">
            <v>VAR_fin</v>
          </cell>
          <cell r="C687" t="str">
            <v>ITOT_ELC</v>
          </cell>
          <cell r="D687">
            <v>0.35967312881337293</v>
          </cell>
          <cell r="E687">
            <v>0.45106317504486559</v>
          </cell>
          <cell r="F687">
            <v>0.44587235566669875</v>
          </cell>
          <cell r="G687">
            <v>1.2439231165158215</v>
          </cell>
          <cell r="H687">
            <v>1.9770709654510268</v>
          </cell>
          <cell r="I687">
            <v>3.0719583159627208</v>
          </cell>
          <cell r="J687">
            <v>3.8056668471524233</v>
          </cell>
        </row>
        <row r="688">
          <cell r="A688" t="str">
            <v>ITOT-SWHELCHP</v>
          </cell>
          <cell r="B688" t="str">
            <v>VAR_fin</v>
          </cell>
          <cell r="C688" t="str">
            <v>ITOTELCHPC</v>
          </cell>
          <cell r="D688">
            <v>1.1081457819623317</v>
          </cell>
          <cell r="E688">
            <v>1.4007935947799854</v>
          </cell>
          <cell r="F688">
            <v>1.4010974392223721</v>
          </cell>
          <cell r="G688">
            <v>3.9852394058452272</v>
          </cell>
          <cell r="H688">
            <v>6.455452827774991</v>
          </cell>
          <cell r="I688">
            <v>10.219032562890789</v>
          </cell>
          <cell r="J688">
            <v>13.127037396767655</v>
          </cell>
        </row>
        <row r="689">
          <cell r="A689" t="str">
            <v>ITOT-SWHELCHP</v>
          </cell>
          <cell r="B689" t="str">
            <v>VAR_ncap</v>
          </cell>
          <cell r="C689" t="str">
            <v>-</v>
          </cell>
          <cell r="E689">
            <v>1.59540554301748E-2</v>
          </cell>
          <cell r="F689">
            <v>1.1740247885521399E-5</v>
          </cell>
          <cell r="G689">
            <v>0.14051828064961</v>
          </cell>
          <cell r="H689">
            <v>0.18677762822258701</v>
          </cell>
          <cell r="I689">
            <v>0.27713360753953198</v>
          </cell>
          <cell r="J689">
            <v>0.45674167690374801</v>
          </cell>
        </row>
        <row r="690">
          <cell r="A690" t="str">
            <v>ITOT-SWHELCHP</v>
          </cell>
          <cell r="B690" t="str">
            <v>VAR_cap</v>
          </cell>
          <cell r="C690" t="str">
            <v>-</v>
          </cell>
          <cell r="D690">
            <v>6.02631234918991E-2</v>
          </cell>
          <cell r="E690">
            <v>7.6217067733232891E-2</v>
          </cell>
          <cell r="F690">
            <v>7.6228672467127959E-2</v>
          </cell>
          <cell r="G690">
            <v>0.2167468440477868</v>
          </cell>
          <cell r="H690">
            <v>0.35110883282052974</v>
          </cell>
          <cell r="I690">
            <v>0.55988485751855199</v>
          </cell>
          <cell r="J690">
            <v>0.73687250139544347</v>
          </cell>
        </row>
        <row r="691">
          <cell r="A691" t="str">
            <v>RHES-SHCONBR8</v>
          </cell>
          <cell r="B691" t="str">
            <v>VAR_fout</v>
          </cell>
          <cell r="C691" t="str">
            <v>RHES-SHCON</v>
          </cell>
          <cell r="E691">
            <v>1.6678223979497034E-5</v>
          </cell>
          <cell r="F691">
            <v>1.8152529341927135E-5</v>
          </cell>
          <cell r="G691">
            <v>1.3009020817469024E-5</v>
          </cell>
          <cell r="H691">
            <v>1.6836512061471786E-5</v>
          </cell>
          <cell r="I691">
            <v>1.6303315832597698E-5</v>
          </cell>
          <cell r="J691">
            <v>1.1838920996365434E-5</v>
          </cell>
        </row>
        <row r="692">
          <cell r="A692" t="str">
            <v>RHES-SHCONBR8</v>
          </cell>
          <cell r="B692" t="str">
            <v>VAR_fin</v>
          </cell>
          <cell r="C692" t="str">
            <v>CON</v>
          </cell>
          <cell r="E692">
            <v>1.6678223979497034E-5</v>
          </cell>
          <cell r="F692">
            <v>1.8152529341927135E-5</v>
          </cell>
          <cell r="G692">
            <v>1.3009020817469024E-5</v>
          </cell>
          <cell r="H692">
            <v>1.6836512061471786E-5</v>
          </cell>
          <cell r="I692">
            <v>1.6303315832597698E-5</v>
          </cell>
          <cell r="J692">
            <v>1.1838920996365434E-5</v>
          </cell>
        </row>
        <row r="693">
          <cell r="A693" t="str">
            <v>RHEM-SHWODBR</v>
          </cell>
          <cell r="B693" t="str">
            <v>VAR_fout</v>
          </cell>
          <cell r="C693" t="str">
            <v>RHEM-SHWOD</v>
          </cell>
          <cell r="D693">
            <v>4.7439202995079821</v>
          </cell>
          <cell r="E693">
            <v>3.9932745887383971</v>
          </cell>
          <cell r="F693">
            <v>4.6463843033941696</v>
          </cell>
          <cell r="G693">
            <v>4.6217292656752891</v>
          </cell>
          <cell r="H693">
            <v>4.310715349433468</v>
          </cell>
          <cell r="I693">
            <v>3.9960401972782882</v>
          </cell>
          <cell r="J693">
            <v>3.3048775053853259</v>
          </cell>
        </row>
        <row r="694">
          <cell r="A694" t="str">
            <v>RHEM-SHWODBR</v>
          </cell>
          <cell r="B694" t="str">
            <v>VAR_fin</v>
          </cell>
          <cell r="C694" t="str">
            <v>RHEMWODBRC</v>
          </cell>
          <cell r="D694">
            <v>4.7439202995079821</v>
          </cell>
          <cell r="E694">
            <v>3.9932745887383971</v>
          </cell>
          <cell r="F694">
            <v>4.6463843033941696</v>
          </cell>
          <cell r="G694">
            <v>4.6217292656752891</v>
          </cell>
          <cell r="H694">
            <v>4.310715349433468</v>
          </cell>
          <cell r="I694">
            <v>3.9960401972782882</v>
          </cell>
          <cell r="J694">
            <v>3.3048775053853259</v>
          </cell>
        </row>
        <row r="695">
          <cell r="A695" t="str">
            <v>RHEM-SHWODBR</v>
          </cell>
          <cell r="B695" t="str">
            <v>VAR_fin</v>
          </cell>
          <cell r="C695" t="str">
            <v>RWOD</v>
          </cell>
          <cell r="D695">
            <v>6.5887781937610832</v>
          </cell>
          <cell r="E695">
            <v>5.546214706581102</v>
          </cell>
          <cell r="F695">
            <v>6.4256077088919969</v>
          </cell>
          <cell r="G695">
            <v>6.3141439717262777</v>
          </cell>
          <cell r="H695">
            <v>5.8543928180474891</v>
          </cell>
          <cell r="I695">
            <v>5.4103576869172727</v>
          </cell>
          <cell r="J695">
            <v>4.4175557836624701</v>
          </cell>
        </row>
        <row r="696">
          <cell r="A696" t="str">
            <v>RHEM-SHWODBR</v>
          </cell>
          <cell r="B696" t="str">
            <v>VAR_ncap</v>
          </cell>
          <cell r="C696" t="str">
            <v>-</v>
          </cell>
          <cell r="D696">
            <v>1.07410737776391E-7</v>
          </cell>
          <cell r="E696">
            <v>4.0310259750215998E-8</v>
          </cell>
          <cell r="F696">
            <v>8.3487264201494901E-8</v>
          </cell>
          <cell r="G696">
            <v>1.4322524705677401E-7</v>
          </cell>
          <cell r="H696">
            <v>0.21751845097849501</v>
          </cell>
          <cell r="I696">
            <v>6.4668350313036402E-2</v>
          </cell>
          <cell r="J696">
            <v>9.4434575111173494E-2</v>
          </cell>
        </row>
        <row r="697">
          <cell r="A697" t="str">
            <v>RHEM-SHWODBR</v>
          </cell>
          <cell r="B697" t="str">
            <v>VAR_cap</v>
          </cell>
          <cell r="C697" t="str">
            <v>-</v>
          </cell>
          <cell r="D697">
            <v>0.33507188636573082</v>
          </cell>
          <cell r="E697">
            <v>0.33507111188807109</v>
          </cell>
          <cell r="F697">
            <v>0.3350705189487565</v>
          </cell>
          <cell r="G697">
            <v>0.33507029797479121</v>
          </cell>
          <cell r="H697">
            <v>0.30441386301700635</v>
          </cell>
          <cell r="I697">
            <v>0.28218678510511036</v>
          </cell>
          <cell r="J697">
            <v>0.23337564773089553</v>
          </cell>
        </row>
        <row r="698">
          <cell r="A698" t="str">
            <v>RHES-SHCONBR9</v>
          </cell>
          <cell r="B698" t="str">
            <v>VAR_fout</v>
          </cell>
          <cell r="C698" t="str">
            <v>RHES-SHCON</v>
          </cell>
          <cell r="E698">
            <v>1.6641097656632833E-5</v>
          </cell>
          <cell r="F698">
            <v>1.8100284704575825E-5</v>
          </cell>
          <cell r="G698">
            <v>1.2922384800776979E-5</v>
          </cell>
          <cell r="H698">
            <v>1.6718028248785982E-5</v>
          </cell>
          <cell r="I698">
            <v>1.6161406198712233E-5</v>
          </cell>
          <cell r="J698">
            <v>1.1707241372526248E-5</v>
          </cell>
        </row>
        <row r="699">
          <cell r="A699" t="str">
            <v>RHES-SHCONBR9</v>
          </cell>
          <cell r="B699" t="str">
            <v>VAR_fin</v>
          </cell>
          <cell r="C699" t="str">
            <v>CON</v>
          </cell>
          <cell r="E699">
            <v>1.6641097656632833E-5</v>
          </cell>
          <cell r="F699">
            <v>1.8100284704575825E-5</v>
          </cell>
          <cell r="G699">
            <v>1.2922384800776979E-5</v>
          </cell>
          <cell r="H699">
            <v>1.6718028248785982E-5</v>
          </cell>
          <cell r="I699">
            <v>1.6161406198712233E-5</v>
          </cell>
          <cell r="J699">
            <v>1.1707241372526248E-5</v>
          </cell>
        </row>
        <row r="700">
          <cell r="A700" t="str">
            <v>D-RHNS_LTH_CHPNGA</v>
          </cell>
          <cell r="B700" t="str">
            <v>VAR_fout</v>
          </cell>
          <cell r="C700" t="str">
            <v>RHSA_LTH</v>
          </cell>
          <cell r="D700">
            <v>1.2886592562924125E-5</v>
          </cell>
          <cell r="E700">
            <v>8.3692246615349884E-6</v>
          </cell>
          <cell r="F700">
            <v>3.1547440083461448E-5</v>
          </cell>
          <cell r="G700">
            <v>8.5128242076809657E-6</v>
          </cell>
          <cell r="H700">
            <v>7.5953186283898488E-6</v>
          </cell>
          <cell r="I700">
            <v>8.7804473256846579E-6</v>
          </cell>
          <cell r="J700">
            <v>6.5625253653876114E-6</v>
          </cell>
        </row>
        <row r="701">
          <cell r="A701" t="str">
            <v>D-RHNS_LTH_CHPNGA</v>
          </cell>
          <cell r="B701" t="str">
            <v>VAR_fout</v>
          </cell>
          <cell r="C701" t="str">
            <v>RHNS_LTH_CHPNGA_ON</v>
          </cell>
          <cell r="D701">
            <v>1.1205069847766543E-5</v>
          </cell>
          <cell r="E701">
            <v>8.8270396815378E-4</v>
          </cell>
          <cell r="F701">
            <v>7.4343703143157089E-4</v>
          </cell>
          <cell r="G701">
            <v>3.7377892923599205E-6</v>
          </cell>
          <cell r="H701">
            <v>3.3759568252159679E-6</v>
          </cell>
          <cell r="I701">
            <v>1.153606029611962E-6</v>
          </cell>
          <cell r="J701">
            <v>1.2997636310218544E-6</v>
          </cell>
        </row>
        <row r="702">
          <cell r="A702" t="str">
            <v>D-RHNS_LTH_CHPNGA</v>
          </cell>
          <cell r="B702" t="str">
            <v>VAR_fin</v>
          </cell>
          <cell r="C702" t="str">
            <v>RHNS_LTH_CHPNGA</v>
          </cell>
          <cell r="D702">
            <v>2.4091662410690671E-5</v>
          </cell>
          <cell r="E702">
            <v>8.9122223556240443E-4</v>
          </cell>
          <cell r="F702">
            <v>7.752551482522658E-4</v>
          </cell>
          <cell r="G702">
            <v>1.2792983106125457E-5</v>
          </cell>
          <cell r="H702">
            <v>1.1772698560139118E-5</v>
          </cell>
          <cell r="I702">
            <v>1.0730760090806958E-5</v>
          </cell>
          <cell r="J702">
            <v>8.8835516909510637E-6</v>
          </cell>
        </row>
        <row r="703">
          <cell r="A703" t="str">
            <v>D-SLFO</v>
          </cell>
          <cell r="B703" t="str">
            <v>VAR_fout</v>
          </cell>
          <cell r="C703" t="str">
            <v>CO2</v>
          </cell>
          <cell r="D703">
            <v>2267.7886430973299</v>
          </cell>
          <cell r="E703">
            <v>1978.75493190877</v>
          </cell>
          <cell r="F703">
            <v>2028.0269831825201</v>
          </cell>
          <cell r="G703">
            <v>1465.8414138988501</v>
          </cell>
          <cell r="H703">
            <v>1139.17981411187</v>
          </cell>
          <cell r="I703">
            <v>915.12625578130201</v>
          </cell>
          <cell r="J703">
            <v>390.39843563175998</v>
          </cell>
        </row>
        <row r="704">
          <cell r="A704" t="str">
            <v>D-SLFO</v>
          </cell>
          <cell r="B704" t="str">
            <v>VAR_fout</v>
          </cell>
          <cell r="C704" t="str">
            <v>SLFO</v>
          </cell>
          <cell r="D704">
            <v>30.256634055456193</v>
          </cell>
          <cell r="E704">
            <v>26.400372028683567</v>
          </cell>
          <cell r="F704">
            <v>27.057776964062349</v>
          </cell>
          <cell r="G704">
            <v>19.557191665279888</v>
          </cell>
          <cell r="H704">
            <v>15.198951038817778</v>
          </cell>
          <cell r="I704">
            <v>12.209611921356656</v>
          </cell>
          <cell r="J704">
            <v>5.2087158042328978</v>
          </cell>
        </row>
        <row r="705">
          <cell r="A705" t="str">
            <v>D-SLFO</v>
          </cell>
          <cell r="B705" t="str">
            <v>VAR_fin</v>
          </cell>
          <cell r="C705" t="str">
            <v>LFO</v>
          </cell>
          <cell r="D705">
            <v>30.770537898199827</v>
          </cell>
          <cell r="E705">
            <v>26.848777909209947</v>
          </cell>
          <cell r="F705">
            <v>27.517326773168527</v>
          </cell>
          <cell r="G705">
            <v>19.889300052901671</v>
          </cell>
          <cell r="H705">
            <v>15.456985266104047</v>
          </cell>
          <cell r="I705">
            <v>12.416909847778843</v>
          </cell>
          <cell r="J705">
            <v>5.2971293844200833</v>
          </cell>
        </row>
        <row r="706">
          <cell r="A706" t="str">
            <v>D-SLFO</v>
          </cell>
          <cell r="B706" t="str">
            <v>VAR_fin</v>
          </cell>
          <cell r="C706" t="str">
            <v>BDS</v>
          </cell>
          <cell r="F706">
            <v>2.1748458666761112E-5</v>
          </cell>
          <cell r="G706">
            <v>6.7070901476700952E-5</v>
          </cell>
          <cell r="H706">
            <v>1.1745643703875409E-4</v>
          </cell>
          <cell r="I706">
            <v>8.0353449601615413E-5</v>
          </cell>
          <cell r="J706">
            <v>5.5506108495715396E-5</v>
          </cell>
        </row>
        <row r="707">
          <cell r="A707" t="str">
            <v>D-RCOA</v>
          </cell>
          <cell r="B707" t="str">
            <v>VAR_fout</v>
          </cell>
          <cell r="C707" t="str">
            <v>CO2</v>
          </cell>
          <cell r="D707">
            <v>9.2700810955579893</v>
          </cell>
          <cell r="E707">
            <v>9.27005946500765</v>
          </cell>
          <cell r="F707">
            <v>2.4985699249556999</v>
          </cell>
          <cell r="G707">
            <v>0.561906252020832</v>
          </cell>
          <cell r="H707">
            <v>2.1079306007833799E-2</v>
          </cell>
        </row>
        <row r="708">
          <cell r="A708" t="str">
            <v>D-RCOA</v>
          </cell>
          <cell r="B708" t="str">
            <v>VAR_fout</v>
          </cell>
          <cell r="C708" t="str">
            <v>RCOA</v>
          </cell>
          <cell r="D708">
            <v>0.10000087481723838</v>
          </cell>
          <cell r="E708">
            <v>0.10000064147796808</v>
          </cell>
          <cell r="F708">
            <v>2.6953289373847958E-2</v>
          </cell>
          <cell r="G708">
            <v>6.0615561167295905E-3</v>
          </cell>
          <cell r="H708">
            <v>2.2739272931859565E-4</v>
          </cell>
        </row>
        <row r="709">
          <cell r="A709" t="str">
            <v>D-RCOA</v>
          </cell>
          <cell r="B709" t="str">
            <v>VAR_fin</v>
          </cell>
          <cell r="C709" t="str">
            <v>COA</v>
          </cell>
          <cell r="D709">
            <v>0.10000087481723838</v>
          </cell>
          <cell r="E709">
            <v>0.10000064147796808</v>
          </cell>
          <cell r="F709">
            <v>2.6953289373847958E-2</v>
          </cell>
          <cell r="G709">
            <v>6.0615561167295905E-3</v>
          </cell>
          <cell r="H709">
            <v>2.2739272931859565E-4</v>
          </cell>
        </row>
        <row r="710">
          <cell r="A710" t="str">
            <v>SCOM-ELCSPECDC</v>
          </cell>
          <cell r="B710" t="str">
            <v>VAR_fout</v>
          </cell>
          <cell r="C710" t="str">
            <v>SCOM-ELSDC</v>
          </cell>
          <cell r="F710">
            <v>13.290698929185066</v>
          </cell>
          <cell r="G710">
            <v>14.089335245285167</v>
          </cell>
          <cell r="H710">
            <v>14.899648223985468</v>
          </cell>
          <cell r="I710">
            <v>15.634211432487488</v>
          </cell>
          <cell r="J710">
            <v>16.899531980738132</v>
          </cell>
        </row>
        <row r="711">
          <cell r="A711" t="str">
            <v>SCOM-ELCSPECDC</v>
          </cell>
          <cell r="B711" t="str">
            <v>VAR_fin</v>
          </cell>
          <cell r="C711" t="str">
            <v>SCOM_ELC</v>
          </cell>
          <cell r="F711">
            <v>13.290698929185066</v>
          </cell>
          <cell r="G711">
            <v>14.089335245285167</v>
          </cell>
          <cell r="H711">
            <v>14.899648223985468</v>
          </cell>
          <cell r="I711">
            <v>15.634211432487488</v>
          </cell>
          <cell r="J711">
            <v>16.899531980738132</v>
          </cell>
        </row>
        <row r="712">
          <cell r="A712" t="str">
            <v>RHES-SHSTG-SOL</v>
          </cell>
          <cell r="B712" t="str">
            <v>VAR_fout</v>
          </cell>
          <cell r="C712" t="str">
            <v>AUX_RHES-SHSTG-SOL_OUT</v>
          </cell>
          <cell r="D712">
            <v>5.7169332853059522E-2</v>
          </cell>
          <cell r="E712">
            <v>6.3440238500099944E-2</v>
          </cell>
          <cell r="F712">
            <v>9.0716700097932187E-3</v>
          </cell>
          <cell r="G712">
            <v>1.2022736688561316E-2</v>
          </cell>
          <cell r="H712">
            <v>8.7869525520069512E-3</v>
          </cell>
          <cell r="I712">
            <v>4.4121006507339645E-3</v>
          </cell>
          <cell r="J712">
            <v>5.2814016532665179E-3</v>
          </cell>
        </row>
        <row r="713">
          <cell r="A713" t="str">
            <v>RHES-SHSTG-SOL</v>
          </cell>
          <cell r="B713" t="str">
            <v>VAR_fout</v>
          </cell>
          <cell r="C713" t="str">
            <v>RHES-SHASOL</v>
          </cell>
          <cell r="D713">
            <v>5.7112220632427144E-2</v>
          </cell>
          <cell r="E713">
            <v>6.3376861638461443E-2</v>
          </cell>
          <cell r="F713">
            <v>9.0626074023908293E-3</v>
          </cell>
          <cell r="G713">
            <v>1.2010725962598716E-2</v>
          </cell>
          <cell r="H713">
            <v>8.7781743776293216E-3</v>
          </cell>
          <cell r="I713">
            <v>4.4076929577761903E-3</v>
          </cell>
          <cell r="J713">
            <v>5.2761255277387767E-3</v>
          </cell>
        </row>
        <row r="714">
          <cell r="A714" t="str">
            <v>RHES-SHSTG-SOL</v>
          </cell>
          <cell r="B714" t="str">
            <v>VAR_fin</v>
          </cell>
          <cell r="C714" t="str">
            <v>RHES-SHASOL</v>
          </cell>
          <cell r="D714">
            <v>5.7104749321707685E-2</v>
          </cell>
          <cell r="E714">
            <v>6.3380090099798697E-2</v>
          </cell>
          <cell r="F714">
            <v>9.0658851367261418E-3</v>
          </cell>
          <cell r="G714">
            <v>1.2013864920440365E-2</v>
          </cell>
          <cell r="H714">
            <v>8.7799101975671659E-3</v>
          </cell>
          <cell r="I714">
            <v>4.4091077065571182E-3</v>
          </cell>
          <cell r="J714">
            <v>5.2779172401280858E-3</v>
          </cell>
        </row>
        <row r="715">
          <cell r="A715" t="str">
            <v>RHES-SHSTG-SOL</v>
          </cell>
          <cell r="B715" t="str">
            <v>VAR_ncap</v>
          </cell>
          <cell r="C715" t="str">
            <v>-</v>
          </cell>
          <cell r="D715">
            <v>9.9936488466279508E-3</v>
          </cell>
          <cell r="E715">
            <v>1.1673644388531801E-3</v>
          </cell>
          <cell r="F715">
            <v>1.1712232878810301E-7</v>
          </cell>
          <cell r="G715">
            <v>1.4383349910400799E-7</v>
          </cell>
          <cell r="H715">
            <v>6.4607433072192501E-5</v>
          </cell>
          <cell r="I715">
            <v>6.1124625509670501E-4</v>
          </cell>
          <cell r="J715">
            <v>2.3205258705235801E-4</v>
          </cell>
        </row>
        <row r="716">
          <cell r="A716" t="str">
            <v>RHES-SHSTG-SOL</v>
          </cell>
          <cell r="B716" t="str">
            <v>VAR_cap</v>
          </cell>
          <cell r="C716" t="str">
            <v>-</v>
          </cell>
          <cell r="D716">
            <v>9.9936488466279508E-3</v>
          </cell>
          <cell r="E716">
            <v>1.11610132854811E-2</v>
          </cell>
          <cell r="F716">
            <v>1.11611304078099E-2</v>
          </cell>
          <cell r="G716">
            <v>1.1161274241308999E-2</v>
          </cell>
          <cell r="H716">
            <v>3.2546584014809302E-3</v>
          </cell>
          <cell r="I716">
            <v>6.7597266941178701E-4</v>
          </cell>
          <cell r="J716">
            <v>7.0298308434609902E-4</v>
          </cell>
        </row>
        <row r="717">
          <cell r="A717" t="str">
            <v>D-ITOT_LTH</v>
          </cell>
          <cell r="B717" t="str">
            <v>VAR_fout</v>
          </cell>
          <cell r="C717" t="str">
            <v>ITOT_LTH_DH</v>
          </cell>
          <cell r="D717">
            <v>7.1200029729715606</v>
          </cell>
          <cell r="E717">
            <v>7.6289070574065185</v>
          </cell>
          <cell r="F717">
            <v>7.6289065666842193</v>
          </cell>
          <cell r="G717">
            <v>7.6289148403193145</v>
          </cell>
          <cell r="H717">
            <v>7.6289176025207723</v>
          </cell>
          <cell r="I717">
            <v>8.2276260418181053</v>
          </cell>
          <cell r="J717">
            <v>8.7460727583343161</v>
          </cell>
        </row>
        <row r="718">
          <cell r="A718" t="str">
            <v>D-ITOT_LTH</v>
          </cell>
          <cell r="B718" t="str">
            <v>VAR_fin</v>
          </cell>
          <cell r="C718" t="str">
            <v>LTH</v>
          </cell>
          <cell r="D718">
            <v>7.7403389225368366</v>
          </cell>
          <cell r="E718">
            <v>8.2914020285312908</v>
          </cell>
          <cell r="F718">
            <v>8.2881341624104916</v>
          </cell>
          <cell r="G718">
            <v>8.2827033090642388</v>
          </cell>
          <cell r="H718">
            <v>8.2772736001854632</v>
          </cell>
          <cell r="I718">
            <v>8.9210128728026579</v>
          </cell>
          <cell r="J718">
            <v>9.4707361634128748</v>
          </cell>
        </row>
        <row r="719">
          <cell r="A719" t="str">
            <v>D-ITOT_LTH</v>
          </cell>
          <cell r="B719" t="str">
            <v>VAR_ncap</v>
          </cell>
          <cell r="C719" t="str">
            <v>-</v>
          </cell>
          <cell r="D719">
            <v>0.79547235099867997</v>
          </cell>
          <cell r="E719">
            <v>1.09713184330323E-8</v>
          </cell>
          <cell r="F719">
            <v>1.25058691654534E-8</v>
          </cell>
          <cell r="G719">
            <v>1.43675958981846E-8</v>
          </cell>
          <cell r="H719">
            <v>2.0690942883228999E-8</v>
          </cell>
          <cell r="I719">
            <v>2.0815546208221699E-8</v>
          </cell>
          <cell r="J719">
            <v>3.0142960252231497E-8</v>
          </cell>
        </row>
        <row r="720">
          <cell r="A720" t="str">
            <v>D-ITOT_LTH</v>
          </cell>
          <cell r="B720" t="str">
            <v>VAR_cap</v>
          </cell>
          <cell r="C720" t="str">
            <v>-</v>
          </cell>
          <cell r="D720">
            <v>0.79547235099867997</v>
          </cell>
          <cell r="E720">
            <v>0.79547236196999904</v>
          </cell>
          <cell r="F720">
            <v>0.79547237447586805</v>
          </cell>
          <cell r="G720">
            <v>0.79547238884346405</v>
          </cell>
          <cell r="H720">
            <v>0.79547240953440701</v>
          </cell>
          <cell r="I720">
            <v>0.79547243034995296</v>
          </cell>
          <cell r="J720">
            <v>0.79547246049291298</v>
          </cell>
        </row>
        <row r="721">
          <cell r="A721" t="str">
            <v>D-RHNM_LTH_CHPWOD</v>
          </cell>
          <cell r="B721" t="str">
            <v>VAR_fout</v>
          </cell>
          <cell r="C721" t="str">
            <v>RHNM_LTH_CHPWOD_ON</v>
          </cell>
          <cell r="D721">
            <v>8.5716345426750247E-6</v>
          </cell>
          <cell r="E721">
            <v>9.9965059521486707E-6</v>
          </cell>
          <cell r="F721">
            <v>2.2096579684526258E-6</v>
          </cell>
          <cell r="G721">
            <v>3.2739296521456203E-6</v>
          </cell>
          <cell r="H721">
            <v>2.7685241155245884E-6</v>
          </cell>
          <cell r="I721">
            <v>1.8725496316992412E-6</v>
          </cell>
          <cell r="J721">
            <v>1.0228873073846404E-6</v>
          </cell>
        </row>
        <row r="722">
          <cell r="A722" t="str">
            <v>D-RHNM_LTH_CHPWOD</v>
          </cell>
          <cell r="B722" t="str">
            <v>VAR_fout</v>
          </cell>
          <cell r="C722" t="str">
            <v>RHSA_LTH</v>
          </cell>
          <cell r="D722">
            <v>1.677700701580343E-5</v>
          </cell>
          <cell r="E722">
            <v>1.1459327317006161E-5</v>
          </cell>
          <cell r="F722">
            <v>3.3233450588244445E-6</v>
          </cell>
          <cell r="G722">
            <v>9.1120791515427845E-6</v>
          </cell>
          <cell r="H722">
            <v>8.2288797285250209E-6</v>
          </cell>
          <cell r="I722">
            <v>8.821790312412785E-6</v>
          </cell>
          <cell r="J722">
            <v>6.8394145386439137E-6</v>
          </cell>
        </row>
        <row r="723">
          <cell r="A723" t="str">
            <v>D-RHNM_LTH_CHPWOD</v>
          </cell>
          <cell r="B723" t="str">
            <v>VAR_fin</v>
          </cell>
          <cell r="C723" t="str">
            <v>RHNM_LTH_CHPWOD</v>
          </cell>
          <cell r="D723">
            <v>2.534864155847845E-5</v>
          </cell>
          <cell r="E723">
            <v>2.1885817460493615E-5</v>
          </cell>
          <cell r="F723">
            <v>5.8056150191736285E-6</v>
          </cell>
          <cell r="G723">
            <v>1.3156472519828331E-5</v>
          </cell>
          <cell r="H723">
            <v>1.1991606790793846E-5</v>
          </cell>
          <cell r="I723">
            <v>1.1623322387278749E-5</v>
          </cell>
          <cell r="J723">
            <v>8.883564008710608E-6</v>
          </cell>
        </row>
        <row r="724">
          <cell r="A724" t="str">
            <v>RHNS-SHWODBR</v>
          </cell>
          <cell r="B724" t="str">
            <v>VAR_fout</v>
          </cell>
          <cell r="C724" t="str">
            <v>RHNS-SHWOD</v>
          </cell>
          <cell r="E724">
            <v>2.6569937457460852E-2</v>
          </cell>
          <cell r="F724">
            <v>4.8806251185897126E-2</v>
          </cell>
          <cell r="G724">
            <v>8.705120118770053E-2</v>
          </cell>
          <cell r="H724">
            <v>0.10853421668924661</v>
          </cell>
          <cell r="I724">
            <v>0.12574368252850768</v>
          </cell>
          <cell r="J724">
            <v>0.14392606353493387</v>
          </cell>
        </row>
        <row r="725">
          <cell r="A725" t="str">
            <v>RHNS-SHWODBR</v>
          </cell>
          <cell r="B725" t="str">
            <v>VAR_fin</v>
          </cell>
          <cell r="C725" t="str">
            <v>RHNSWODBRC</v>
          </cell>
          <cell r="E725">
            <v>2.6569937457460852E-2</v>
          </cell>
          <cell r="F725">
            <v>4.8806251185897126E-2</v>
          </cell>
          <cell r="G725">
            <v>8.705120118770053E-2</v>
          </cell>
          <cell r="H725">
            <v>0.10853421668924661</v>
          </cell>
          <cell r="I725">
            <v>0.12574368252850768</v>
          </cell>
          <cell r="J725">
            <v>0.14392606353493387</v>
          </cell>
        </row>
        <row r="726">
          <cell r="A726" t="str">
            <v>RHNS-SHWODBR</v>
          </cell>
          <cell r="B726" t="str">
            <v>VAR_fin</v>
          </cell>
          <cell r="C726" t="str">
            <v>RWOD</v>
          </cell>
          <cell r="E726">
            <v>3.6902690913140052E-2</v>
          </cell>
          <cell r="F726">
            <v>6.5697663030038919E-2</v>
          </cell>
          <cell r="G726">
            <v>0.11675604511971283</v>
          </cell>
          <cell r="H726">
            <v>0.14525321155791993</v>
          </cell>
          <cell r="I726">
            <v>0.16800572951040554</v>
          </cell>
          <cell r="J726">
            <v>0.19223264693280268</v>
          </cell>
        </row>
        <row r="727">
          <cell r="A727" t="str">
            <v>RHNS-SHWODBR</v>
          </cell>
          <cell r="B727" t="str">
            <v>VAR_ncap</v>
          </cell>
          <cell r="C727" t="str">
            <v>-</v>
          </cell>
          <cell r="E727">
            <v>1.9496815430832201E-3</v>
          </cell>
          <cell r="F727">
            <v>4.3977992049085302E-3</v>
          </cell>
          <cell r="H727">
            <v>2.47906095331068E-2</v>
          </cell>
        </row>
        <row r="728">
          <cell r="A728" t="str">
            <v>RHNS-SHWODBR</v>
          </cell>
          <cell r="B728" t="str">
            <v>VAR_cap</v>
          </cell>
          <cell r="C728" t="str">
            <v>-</v>
          </cell>
          <cell r="E728">
            <v>1.9496815430832201E-3</v>
          </cell>
          <cell r="F728">
            <v>6.3473956596048825E-3</v>
          </cell>
          <cell r="G728">
            <v>6.3474233229295733E-3</v>
          </cell>
          <cell r="H728">
            <v>2.4834432960746368E-2</v>
          </cell>
          <cell r="I728">
            <v>2.4794350170723893E-2</v>
          </cell>
          <cell r="J728">
            <v>1.0486287161320744E-2</v>
          </cell>
        </row>
        <row r="729">
          <cell r="A729" t="str">
            <v>D-RHNM_NKEV_GAS_ELC_CHP</v>
          </cell>
          <cell r="B729" t="str">
            <v>VAR_fout</v>
          </cell>
          <cell r="C729" t="str">
            <v>ELC5</v>
          </cell>
          <cell r="E729">
            <v>1.6983855891565858E-4</v>
          </cell>
          <cell r="F729">
            <v>2.4720442365675307E-4</v>
          </cell>
        </row>
        <row r="730">
          <cell r="A730" t="str">
            <v>D-RHNM_NKEV_GAS_ELC_CHP</v>
          </cell>
          <cell r="B730" t="str">
            <v>VAR_fout</v>
          </cell>
          <cell r="C730" t="str">
            <v>RHNM_ELC</v>
          </cell>
          <cell r="E730">
            <v>1.0540696192303653E-3</v>
          </cell>
          <cell r="F730">
            <v>1.1717540652769543E-3</v>
          </cell>
        </row>
        <row r="731">
          <cell r="A731" t="str">
            <v>D-RHNM_NKEV_GAS_ELC_CHP</v>
          </cell>
          <cell r="B731" t="str">
            <v>VAR_fin</v>
          </cell>
          <cell r="C731" t="str">
            <v>RHNM_NKEV_GAS_ELC_CHP</v>
          </cell>
          <cell r="E731">
            <v>1.2239081781460252E-3</v>
          </cell>
          <cell r="F731">
            <v>1.4166957585220418E-3</v>
          </cell>
        </row>
        <row r="732">
          <cell r="A732" t="str">
            <v>D-RLFO</v>
          </cell>
          <cell r="B732" t="str">
            <v>VAR_fout</v>
          </cell>
          <cell r="C732" t="str">
            <v>CO2</v>
          </cell>
          <cell r="D732">
            <v>4514.4829169642198</v>
          </cell>
          <cell r="E732">
            <v>3846.5261273986298</v>
          </cell>
          <cell r="F732">
            <v>3821.8849419166399</v>
          </cell>
          <cell r="G732">
            <v>2498.3393055747301</v>
          </cell>
          <cell r="H732">
            <v>1776.82819917592</v>
          </cell>
          <cell r="I732">
            <v>1328.0358561160101</v>
          </cell>
          <cell r="J732">
            <v>443.67710916106398</v>
          </cell>
        </row>
        <row r="733">
          <cell r="A733" t="str">
            <v>D-RLFO</v>
          </cell>
          <cell r="B733" t="str">
            <v>VAR_fout</v>
          </cell>
          <cell r="C733" t="str">
            <v>RLFO</v>
          </cell>
          <cell r="D733">
            <v>60.23182891578346</v>
          </cell>
          <cell r="E733">
            <v>51.320008932797357</v>
          </cell>
          <cell r="F733">
            <v>50.991269920340663</v>
          </cell>
          <cell r="G733">
            <v>33.332686750772716</v>
          </cell>
          <cell r="H733">
            <v>23.706399194375098</v>
          </cell>
          <cell r="I733">
            <v>17.718615349263267</v>
          </cell>
          <cell r="J733">
            <v>5.9195549548796409</v>
          </cell>
        </row>
        <row r="734">
          <cell r="A734" t="str">
            <v>D-RLFO</v>
          </cell>
          <cell r="B734" t="str">
            <v>VAR_fin</v>
          </cell>
          <cell r="C734" t="str">
            <v>LFO</v>
          </cell>
          <cell r="D734">
            <v>61.2548564038565</v>
          </cell>
          <cell r="E734">
            <v>52.19167065669776</v>
          </cell>
          <cell r="F734">
            <v>51.857326213251604</v>
          </cell>
          <cell r="G734">
            <v>33.898769410783331</v>
          </cell>
          <cell r="H734">
            <v>24.108930789361121</v>
          </cell>
          <cell r="I734">
            <v>18.019482443907844</v>
          </cell>
          <cell r="J734">
            <v>6.020042186717296</v>
          </cell>
        </row>
        <row r="735">
          <cell r="A735" t="str">
            <v>D-RLFO</v>
          </cell>
          <cell r="B735" t="str">
            <v>VAR_fin</v>
          </cell>
          <cell r="C735" t="str">
            <v>BDS</v>
          </cell>
          <cell r="F735">
            <v>2.1821238439786504E-5</v>
          </cell>
          <cell r="G735">
            <v>6.7404143322154079E-5</v>
          </cell>
          <cell r="H735">
            <v>1.1758878528453901E-4</v>
          </cell>
          <cell r="I735">
            <v>8.0611608252501783E-5</v>
          </cell>
          <cell r="J735">
            <v>5.557743387793354E-5</v>
          </cell>
        </row>
        <row r="736">
          <cell r="A736" t="str">
            <v>D-SCOM_LTH_CHPBIO</v>
          </cell>
          <cell r="B736" t="str">
            <v>VAR_fout</v>
          </cell>
          <cell r="C736" t="str">
            <v>SCOM_LTH_CHPBIO_ON</v>
          </cell>
          <cell r="D736">
            <v>1.4243088839891145</v>
          </cell>
          <cell r="E736">
            <v>1.5427983544296469</v>
          </cell>
        </row>
        <row r="737">
          <cell r="A737" t="str">
            <v>D-SCOM_LTH_CHPBIO</v>
          </cell>
          <cell r="B737" t="str">
            <v>VAR_fout</v>
          </cell>
          <cell r="C737" t="str">
            <v>LTH</v>
          </cell>
          <cell r="E737">
            <v>3.551917641751736E-2</v>
          </cell>
        </row>
        <row r="738">
          <cell r="A738" t="str">
            <v>D-SCOM_LTH_CHPBIO</v>
          </cell>
          <cell r="B738" t="str">
            <v>VAR_fin</v>
          </cell>
          <cell r="C738" t="str">
            <v>SCOM_LTH_CHPBIO</v>
          </cell>
          <cell r="D738">
            <v>1.4243088839891145</v>
          </cell>
          <cell r="E738">
            <v>1.5783175308471638</v>
          </cell>
        </row>
        <row r="739">
          <cell r="A739" t="str">
            <v>D-SCOM_NKEV_GAS_ELC_CHP</v>
          </cell>
          <cell r="B739" t="str">
            <v>VAR_fout</v>
          </cell>
          <cell r="C739" t="str">
            <v>ELC5</v>
          </cell>
          <cell r="D739">
            <v>1.2698988878990171E-3</v>
          </cell>
          <cell r="E739">
            <v>4.6950327567296343E-4</v>
          </cell>
          <cell r="F739">
            <v>3.7715436236622653E-4</v>
          </cell>
        </row>
        <row r="740">
          <cell r="A740" t="str">
            <v>D-SCOM_NKEV_GAS_ELC_CHP</v>
          </cell>
          <cell r="B740" t="str">
            <v>VAR_fout</v>
          </cell>
          <cell r="C740" t="str">
            <v>SCOM_ELC</v>
          </cell>
          <cell r="D740">
            <v>0.59313019211499662</v>
          </cell>
          <cell r="E740">
            <v>0.62540042670765494</v>
          </cell>
          <cell r="F740">
            <v>1.4698818430808737E-2</v>
          </cell>
        </row>
        <row r="741">
          <cell r="A741" t="str">
            <v>D-SCOM_NKEV_GAS_ELC_CHP</v>
          </cell>
          <cell r="B741" t="str">
            <v>VAR_fin</v>
          </cell>
          <cell r="C741" t="str">
            <v>SCOM_NKEV_GAS_ELC_CHP</v>
          </cell>
          <cell r="D741">
            <v>0.59440009100289515</v>
          </cell>
          <cell r="E741">
            <v>0.6258699299833278</v>
          </cell>
          <cell r="F741">
            <v>1.5073805788654335E-2</v>
          </cell>
        </row>
        <row r="742">
          <cell r="A742" t="str">
            <v>RHEM-SHLTHDH</v>
          </cell>
          <cell r="B742" t="str">
            <v>VAR_fout</v>
          </cell>
          <cell r="C742" t="str">
            <v>RHEM-SHLTHD</v>
          </cell>
          <cell r="D742">
            <v>3.4061770831617904</v>
          </cell>
          <cell r="E742">
            <v>3.7887325621664618</v>
          </cell>
          <cell r="F742">
            <v>4.3967298065868388</v>
          </cell>
          <cell r="G742">
            <v>4.8782339276176439</v>
          </cell>
          <cell r="H742">
            <v>5.0391339645166306</v>
          </cell>
          <cell r="I742">
            <v>5.0868127177191536</v>
          </cell>
          <cell r="J742">
            <v>5.186801805329158</v>
          </cell>
        </row>
        <row r="743">
          <cell r="A743" t="str">
            <v>RHEM-SHLTHDH</v>
          </cell>
          <cell r="B743" t="str">
            <v>VAR_fin</v>
          </cell>
          <cell r="C743" t="str">
            <v>RHEMLTHDHC</v>
          </cell>
          <cell r="D743">
            <v>3.4061770831617904</v>
          </cell>
          <cell r="E743">
            <v>3.7887325621664618</v>
          </cell>
          <cell r="F743">
            <v>4.3967298065868388</v>
          </cell>
          <cell r="G743">
            <v>4.8782339276176439</v>
          </cell>
          <cell r="H743">
            <v>5.0391339645166306</v>
          </cell>
          <cell r="I743">
            <v>5.0868127177191536</v>
          </cell>
          <cell r="J743">
            <v>5.186801805329158</v>
          </cell>
        </row>
        <row r="744">
          <cell r="A744" t="str">
            <v>RHEM-SHLTHDH</v>
          </cell>
          <cell r="B744" t="str">
            <v>VAR_fin</v>
          </cell>
          <cell r="C744" t="str">
            <v>RHEM_LTH_DH</v>
          </cell>
          <cell r="D744">
            <v>3.4405829122846385</v>
          </cell>
          <cell r="E744">
            <v>3.8270025880469305</v>
          </cell>
          <cell r="F744">
            <v>4.9258931786716271</v>
          </cell>
          <cell r="G744">
            <v>5.4323626322235707</v>
          </cell>
          <cell r="H744">
            <v>5.5901889014560489</v>
          </cell>
          <cell r="I744">
            <v>5.6305479889259704</v>
          </cell>
          <cell r="J744">
            <v>5.6986089483702225</v>
          </cell>
        </row>
        <row r="745">
          <cell r="A745" t="str">
            <v>RHEM-SHLTHDH</v>
          </cell>
          <cell r="B745" t="str">
            <v>VAR_ncap</v>
          </cell>
          <cell r="C745" t="str">
            <v>-</v>
          </cell>
          <cell r="E745">
            <v>1.20481398170503E-2</v>
          </cell>
          <cell r="F745">
            <v>0.17394531628360901</v>
          </cell>
          <cell r="G745">
            <v>1.14649077291813E-2</v>
          </cell>
          <cell r="H745">
            <v>9.3280461880286408E-3</v>
          </cell>
          <cell r="I745">
            <v>1.84302996597656E-2</v>
          </cell>
          <cell r="J745">
            <v>5.6483873856115203E-2</v>
          </cell>
        </row>
        <row r="746">
          <cell r="A746" t="str">
            <v>RHEM-SHLTHDH</v>
          </cell>
          <cell r="B746" t="str">
            <v>VAR_cap</v>
          </cell>
          <cell r="C746" t="str">
            <v>-</v>
          </cell>
          <cell r="D746">
            <v>0.31562546711168799</v>
          </cell>
          <cell r="E746">
            <v>0.27749747533714297</v>
          </cell>
          <cell r="F746">
            <v>0.4482029158994964</v>
          </cell>
          <cell r="G746">
            <v>0.42985815407951922</v>
          </cell>
          <cell r="H746">
            <v>0.38579096852378092</v>
          </cell>
          <cell r="I746">
            <v>0.39009919346952504</v>
          </cell>
          <cell r="J746">
            <v>0.43157483538969599</v>
          </cell>
        </row>
        <row r="747">
          <cell r="A747" t="str">
            <v>D-ITOT_SOLELC</v>
          </cell>
          <cell r="B747" t="str">
            <v>VAR_fout</v>
          </cell>
          <cell r="C747" t="str">
            <v>ITOT_ELC</v>
          </cell>
          <cell r="D747">
            <v>3.5171718151027442</v>
          </cell>
          <cell r="E747">
            <v>4.8481147307875121</v>
          </cell>
          <cell r="F747">
            <v>11.160830652455379</v>
          </cell>
          <cell r="G747">
            <v>19.455947681008112</v>
          </cell>
          <cell r="H747">
            <v>21.231781120015118</v>
          </cell>
          <cell r="I747">
            <v>31.301018206403793</v>
          </cell>
          <cell r="J747">
            <v>33.900295604911335</v>
          </cell>
        </row>
        <row r="748">
          <cell r="A748" t="str">
            <v>D-ITOT_SOLELC</v>
          </cell>
          <cell r="B748" t="str">
            <v>VAR_fout</v>
          </cell>
          <cell r="C748" t="str">
            <v>ELC5</v>
          </cell>
          <cell r="D748">
            <v>7.8218460478986923E-4</v>
          </cell>
          <cell r="E748">
            <v>5.0780256687334992E-4</v>
          </cell>
          <cell r="F748">
            <v>5.6868485580164826E-4</v>
          </cell>
          <cell r="G748">
            <v>2.1114308204961095E-2</v>
          </cell>
          <cell r="H748">
            <v>6.4425348541698971E-4</v>
          </cell>
          <cell r="I748">
            <v>0.24259156270233725</v>
          </cell>
          <cell r="J748">
            <v>0.13736030009013242</v>
          </cell>
        </row>
        <row r="749">
          <cell r="A749" t="str">
            <v>D-ITOT_SOLELC</v>
          </cell>
          <cell r="B749" t="str">
            <v>VAR_fin</v>
          </cell>
          <cell r="C749" t="str">
            <v>ITOT_SOL_ELC</v>
          </cell>
          <cell r="D749">
            <v>3.517953999707534</v>
          </cell>
          <cell r="E749">
            <v>4.8486222706482938</v>
          </cell>
          <cell r="F749">
            <v>11.161399337311176</v>
          </cell>
          <cell r="G749">
            <v>19.477061989213073</v>
          </cell>
          <cell r="H749">
            <v>21.232425373500522</v>
          </cell>
          <cell r="I749">
            <v>31.543609769106133</v>
          </cell>
          <cell r="J749">
            <v>34.037655905001465</v>
          </cell>
        </row>
        <row r="750">
          <cell r="A750" t="str">
            <v>D-SWOD</v>
          </cell>
          <cell r="B750" t="str">
            <v>VAR_fout</v>
          </cell>
          <cell r="C750" t="str">
            <v>SWOD</v>
          </cell>
          <cell r="D750">
            <v>8.5743688934399689</v>
          </cell>
          <cell r="E750">
            <v>9.5565744194355364</v>
          </cell>
          <cell r="F750">
            <v>9.1019400082607795</v>
          </cell>
          <cell r="G750">
            <v>9.2582715634484316</v>
          </cell>
          <cell r="H750">
            <v>8.6235213636323707</v>
          </cell>
          <cell r="I750">
            <v>7.8969858972910796</v>
          </cell>
          <cell r="J750">
            <v>6.8754691685169362</v>
          </cell>
        </row>
        <row r="751">
          <cell r="A751" t="str">
            <v>D-SWOD</v>
          </cell>
          <cell r="B751" t="str">
            <v>VAR_fin</v>
          </cell>
          <cell r="C751" t="str">
            <v>WOD</v>
          </cell>
          <cell r="D751">
            <v>8.5743688934399689</v>
          </cell>
          <cell r="E751">
            <v>9.5565744194355364</v>
          </cell>
          <cell r="F751">
            <v>9.1019400082607795</v>
          </cell>
          <cell r="G751">
            <v>9.2582715634484316</v>
          </cell>
          <cell r="H751">
            <v>8.6235213636323707</v>
          </cell>
          <cell r="I751">
            <v>7.8969858972910796</v>
          </cell>
          <cell r="J751">
            <v>6.8754691685169362</v>
          </cell>
        </row>
        <row r="752">
          <cell r="A752" t="str">
            <v>SCOM-SHLTHCHPBIO</v>
          </cell>
          <cell r="B752" t="str">
            <v>VAR_fout</v>
          </cell>
          <cell r="C752" t="str">
            <v>SCOM-SHLTHC-BIO</v>
          </cell>
          <cell r="D752">
            <v>1.4100657951492237</v>
          </cell>
          <cell r="E752">
            <v>1.5273703708853485</v>
          </cell>
        </row>
        <row r="753">
          <cell r="A753" t="str">
            <v>SCOM-SHLTHCHPBIO</v>
          </cell>
          <cell r="B753" t="str">
            <v>VAR_fin</v>
          </cell>
          <cell r="C753" t="str">
            <v>SCOM_LTH_CHPBIO_ON</v>
          </cell>
          <cell r="D753">
            <v>1.4243088839891145</v>
          </cell>
          <cell r="E753">
            <v>1.5427983544296469</v>
          </cell>
        </row>
        <row r="754">
          <cell r="A754" t="str">
            <v>SCOM-SHLTHCHPBIO</v>
          </cell>
          <cell r="B754" t="str">
            <v>VAR_fin</v>
          </cell>
          <cell r="C754" t="str">
            <v>SCOMLTHCHPC</v>
          </cell>
          <cell r="D754">
            <v>1.4100657951492237</v>
          </cell>
          <cell r="E754">
            <v>1.5273703708853485</v>
          </cell>
        </row>
        <row r="755">
          <cell r="A755" t="str">
            <v>SCOM-SHLTHCHPBIO</v>
          </cell>
          <cell r="B755" t="str">
            <v>VAR_ncap</v>
          </cell>
          <cell r="C755" t="str">
            <v>-</v>
          </cell>
          <cell r="D755">
            <v>6.07493634871894E-8</v>
          </cell>
          <cell r="E755">
            <v>1.8687485075666001E-2</v>
          </cell>
          <cell r="F755">
            <v>1.7856228475829398E-2</v>
          </cell>
          <cell r="G755">
            <v>1.6103218650763602E-2</v>
          </cell>
          <cell r="H755">
            <v>5.92934099226958E-2</v>
          </cell>
          <cell r="I755">
            <v>1.9880397593832901E-2</v>
          </cell>
          <cell r="J755">
            <v>4.8795349268527702E-2</v>
          </cell>
        </row>
        <row r="756">
          <cell r="A756" t="str">
            <v>SCOM-SHLTHCHPBIO</v>
          </cell>
          <cell r="B756" t="str">
            <v>VAR_cap</v>
          </cell>
          <cell r="C756" t="str">
            <v>-</v>
          </cell>
          <cell r="D756">
            <v>0.10913974832840248</v>
          </cell>
          <cell r="E756">
            <v>0.12094081930935728</v>
          </cell>
          <cell r="F756">
            <v>8.8715953390579999E-2</v>
          </cell>
          <cell r="G756">
            <v>7.2987619280590096E-2</v>
          </cell>
          <cell r="H756">
            <v>8.9262973162966594E-2</v>
          </cell>
          <cell r="I756">
            <v>7.7079198102913096E-2</v>
          </cell>
          <cell r="J756">
            <v>7.7079328902744798E-2</v>
          </cell>
        </row>
        <row r="757">
          <cell r="A757" t="str">
            <v>RHES-SHNGABR</v>
          </cell>
          <cell r="B757" t="str">
            <v>VAR_fout</v>
          </cell>
          <cell r="C757" t="str">
            <v>CO2_R</v>
          </cell>
          <cell r="D757">
            <v>1043.1351539852501</v>
          </cell>
          <cell r="E757">
            <v>1118.51232911796</v>
          </cell>
          <cell r="F757">
            <v>662.27993071869105</v>
          </cell>
          <cell r="G757">
            <v>545.11286036191996</v>
          </cell>
          <cell r="H757">
            <v>420.608632092238</v>
          </cell>
          <cell r="I757">
            <v>315.78943622767099</v>
          </cell>
          <cell r="J757">
            <v>144.90840167209799</v>
          </cell>
        </row>
        <row r="758">
          <cell r="A758" t="str">
            <v>RHES-SHNGABR</v>
          </cell>
          <cell r="B758" t="str">
            <v>VAR_fout</v>
          </cell>
          <cell r="C758" t="str">
            <v>RHES-SHNGA</v>
          </cell>
          <cell r="D758">
            <v>17.570538941240851</v>
          </cell>
          <cell r="E758">
            <v>18.840189940816696</v>
          </cell>
          <cell r="F758">
            <v>10.778358045130819</v>
          </cell>
          <cell r="G758">
            <v>8.9344547857268921</v>
          </cell>
          <cell r="H758">
            <v>6.9396926431527239</v>
          </cell>
          <cell r="I758">
            <v>5.2385549979032486</v>
          </cell>
          <cell r="J758">
            <v>2.4338997750700755</v>
          </cell>
        </row>
        <row r="759">
          <cell r="A759" t="str">
            <v>RHES-SHNGABR</v>
          </cell>
          <cell r="B759" t="str">
            <v>VAR_fin</v>
          </cell>
          <cell r="C759" t="str">
            <v>RNGA</v>
          </cell>
          <cell r="D759">
            <v>18.49530414867457</v>
          </cell>
          <cell r="E759">
            <v>19.831778885070207</v>
          </cell>
          <cell r="F759">
            <v>11.742551963097362</v>
          </cell>
          <cell r="G759">
            <v>9.6651216376226916</v>
          </cell>
          <cell r="H759">
            <v>7.4575998597914541</v>
          </cell>
          <cell r="I759">
            <v>5.5991034792140173</v>
          </cell>
          <cell r="J759">
            <v>2.5692979019875475</v>
          </cell>
        </row>
        <row r="760">
          <cell r="A760" t="str">
            <v>RHES-SHNGABR</v>
          </cell>
          <cell r="B760" t="str">
            <v>VAR_ncap</v>
          </cell>
          <cell r="C760" t="str">
            <v>-</v>
          </cell>
          <cell r="E760">
            <v>0.100139726999943</v>
          </cell>
          <cell r="F760">
            <v>2.00327497745427E-8</v>
          </cell>
          <cell r="G760">
            <v>4.7915454824340903E-8</v>
          </cell>
          <cell r="H760">
            <v>0.14064056893339</v>
          </cell>
          <cell r="I760">
            <v>0.28257591535319998</v>
          </cell>
          <cell r="J760">
            <v>2.9570154555580801E-8</v>
          </cell>
        </row>
        <row r="761">
          <cell r="A761" t="str">
            <v>RHES-SHNGABR</v>
          </cell>
          <cell r="B761" t="str">
            <v>VAR_cap</v>
          </cell>
          <cell r="C761" t="str">
            <v>-</v>
          </cell>
          <cell r="D761">
            <v>1.4219190615860799</v>
          </cell>
          <cell r="E761">
            <v>1.5220587741994627</v>
          </cell>
          <cell r="F761">
            <v>1.5220295077168677</v>
          </cell>
          <cell r="G761">
            <v>1.5220263747989373</v>
          </cell>
          <cell r="H761">
            <v>0.56068985260480875</v>
          </cell>
          <cell r="I761">
            <v>0.42321645697885169</v>
          </cell>
          <cell r="J761">
            <v>0.20202938152462641</v>
          </cell>
        </row>
        <row r="762">
          <cell r="A762" t="str">
            <v>RHSA-WHNGABR</v>
          </cell>
          <cell r="B762" t="str">
            <v>VAR_fout</v>
          </cell>
          <cell r="C762" t="str">
            <v>RHSA-WHNGA</v>
          </cell>
          <cell r="D762">
            <v>6.3804513018395879</v>
          </cell>
          <cell r="E762">
            <v>5.1513552970312961</v>
          </cell>
          <cell r="F762">
            <v>5.4192366743082161</v>
          </cell>
          <cell r="G762">
            <v>4.4448850076039506</v>
          </cell>
          <cell r="H762">
            <v>3.6415119960522659</v>
          </cell>
          <cell r="I762">
            <v>3.041085392668065</v>
          </cell>
          <cell r="J762">
            <v>1.9312561002354449</v>
          </cell>
        </row>
        <row r="763">
          <cell r="A763" t="str">
            <v>RHSA-WHNGABR</v>
          </cell>
          <cell r="B763" t="str">
            <v>VAR_fout</v>
          </cell>
          <cell r="C763" t="str">
            <v>CO2_R</v>
          </cell>
          <cell r="D763">
            <v>479.80993789833701</v>
          </cell>
          <cell r="E763">
            <v>385.32684184690299</v>
          </cell>
          <cell r="F763">
            <v>575.71248734760798</v>
          </cell>
          <cell r="G763">
            <v>454.91646823493898</v>
          </cell>
          <cell r="H763">
            <v>364.37274457356102</v>
          </cell>
          <cell r="I763">
            <v>300.69375272121198</v>
          </cell>
          <cell r="J763">
            <v>185.24965696391001</v>
          </cell>
        </row>
        <row r="764">
          <cell r="A764" t="str">
            <v>RHSA-WHNGABR</v>
          </cell>
          <cell r="B764" t="str">
            <v>VAR_fin</v>
          </cell>
          <cell r="C764" t="str">
            <v>RNGA</v>
          </cell>
          <cell r="D764">
            <v>8.5072684024527749</v>
          </cell>
          <cell r="E764">
            <v>6.8320362029592774</v>
          </cell>
          <cell r="F764">
            <v>10.207668215383134</v>
          </cell>
          <cell r="G764">
            <v>8.0658948268606263</v>
          </cell>
          <cell r="H764">
            <v>6.4605096555595907</v>
          </cell>
          <cell r="I764">
            <v>5.3314495163335529</v>
          </cell>
          <cell r="J764">
            <v>3.2845683858849242</v>
          </cell>
        </row>
        <row r="765">
          <cell r="A765" t="str">
            <v>RHSA-WHNGABR</v>
          </cell>
          <cell r="B765" t="str">
            <v>VAR_ncap</v>
          </cell>
          <cell r="C765" t="str">
            <v>-</v>
          </cell>
          <cell r="E765">
            <v>4.19565027487613E-8</v>
          </cell>
          <cell r="F765">
            <v>4.8523353225387798E-8</v>
          </cell>
          <cell r="G765">
            <v>5.8953645705452597E-8</v>
          </cell>
          <cell r="H765">
            <v>0.135809787297762</v>
          </cell>
          <cell r="I765">
            <v>7.4188158747640204E-2</v>
          </cell>
          <cell r="J765">
            <v>2.1067144205718001E-2</v>
          </cell>
        </row>
        <row r="766">
          <cell r="A766" t="str">
            <v>RHSA-WHNGABR</v>
          </cell>
          <cell r="B766" t="str">
            <v>VAR_cap</v>
          </cell>
          <cell r="C766" t="str">
            <v>-</v>
          </cell>
          <cell r="D766">
            <v>0.43610075802020798</v>
          </cell>
          <cell r="E766">
            <v>0.43609917735318754</v>
          </cell>
          <cell r="F766">
            <v>0.43609735997989491</v>
          </cell>
          <cell r="G766">
            <v>0.43609639975367326</v>
          </cell>
          <cell r="H766">
            <v>0.2489049612208904</v>
          </cell>
          <cell r="I766">
            <v>0.20999776859762512</v>
          </cell>
          <cell r="J766">
            <v>0.13235469095710403</v>
          </cell>
        </row>
        <row r="767">
          <cell r="A767" t="str">
            <v>ITOT-SWHWSTBR</v>
          </cell>
          <cell r="B767" t="str">
            <v>VAR_fout</v>
          </cell>
          <cell r="C767" t="str">
            <v>ITOT-SWH</v>
          </cell>
          <cell r="D767">
            <v>4.1173680544385762</v>
          </cell>
          <cell r="E767">
            <v>4.2663195310465181</v>
          </cell>
          <cell r="F767">
            <v>5.8273522521345233</v>
          </cell>
          <cell r="G767">
            <v>5.7625103449308108</v>
          </cell>
          <cell r="H767">
            <v>5.694996388200936</v>
          </cell>
          <cell r="I767">
            <v>5.6683123432779032</v>
          </cell>
          <cell r="J767">
            <v>5.7825370182260913</v>
          </cell>
        </row>
        <row r="768">
          <cell r="A768" t="str">
            <v>ITOT-SWHWSTBR</v>
          </cell>
          <cell r="B768" t="str">
            <v>VAR_fout</v>
          </cell>
          <cell r="C768" t="str">
            <v>CO2_I</v>
          </cell>
          <cell r="D768">
            <v>723.65862774980997</v>
          </cell>
          <cell r="E768">
            <v>749.83797818393305</v>
          </cell>
          <cell r="F768">
            <v>1024.20130492061</v>
          </cell>
          <cell r="G768">
            <v>1012.80484850299</v>
          </cell>
          <cell r="H768">
            <v>1000.93875913835</v>
          </cell>
          <cell r="I768">
            <v>996.24883609126698</v>
          </cell>
          <cell r="J768">
            <v>986.43278546209797</v>
          </cell>
        </row>
        <row r="769">
          <cell r="A769" t="str">
            <v>ITOT-SWHWSTBR</v>
          </cell>
          <cell r="B769" t="str">
            <v>VAR_fin</v>
          </cell>
          <cell r="C769" t="str">
            <v>IWST</v>
          </cell>
          <cell r="D769">
            <v>7.7980455576488188</v>
          </cell>
          <cell r="E769">
            <v>8.0801506269820464</v>
          </cell>
          <cell r="F769">
            <v>11.036651992679024</v>
          </cell>
          <cell r="G769">
            <v>10.913845350247737</v>
          </cell>
          <cell r="H769">
            <v>10.785978007956317</v>
          </cell>
          <cell r="I769">
            <v>10.735440044086936</v>
          </cell>
          <cell r="J769">
            <v>10.62966363644502</v>
          </cell>
        </row>
        <row r="770">
          <cell r="A770" t="str">
            <v>ITOT-SWHWSTBR</v>
          </cell>
          <cell r="B770" t="str">
            <v>VAR_ncap</v>
          </cell>
          <cell r="C770" t="str">
            <v>-</v>
          </cell>
          <cell r="E770">
            <v>1.4492271491925E-6</v>
          </cell>
          <cell r="F770">
            <v>1.7928553444033201E-6</v>
          </cell>
          <cell r="G770">
            <v>2.1562880335145002E-6</v>
          </cell>
          <cell r="H770">
            <v>0.22513755910768099</v>
          </cell>
          <cell r="I770">
            <v>8.9473591554761603E-2</v>
          </cell>
          <cell r="J770">
            <v>0.177540418931776</v>
          </cell>
        </row>
        <row r="771">
          <cell r="A771" t="str">
            <v>ITOT-SWHWSTBR</v>
          </cell>
          <cell r="B771" t="str">
            <v>VAR_cap</v>
          </cell>
          <cell r="C771" t="str">
            <v>-</v>
          </cell>
          <cell r="D771">
            <v>0.35954682816669398</v>
          </cell>
          <cell r="E771">
            <v>0.35954187196553883</v>
          </cell>
          <cell r="F771">
            <v>0.35953735699452749</v>
          </cell>
          <cell r="G771">
            <v>0.35953224111943305</v>
          </cell>
          <cell r="H771">
            <v>0.3183741889175658</v>
          </cell>
          <cell r="I771">
            <v>0.31460931421447713</v>
          </cell>
          <cell r="J771">
            <v>0.33770378359780873</v>
          </cell>
        </row>
        <row r="772">
          <cell r="A772" t="str">
            <v>SCOM-SHSTG-ELC</v>
          </cell>
          <cell r="B772" t="str">
            <v>VAR_fout</v>
          </cell>
          <cell r="C772" t="str">
            <v>SCOM-SHAELCB</v>
          </cell>
          <cell r="D772">
            <v>8.1362906319733551E-6</v>
          </cell>
          <cell r="E772">
            <v>3.6420947938498171E-5</v>
          </cell>
          <cell r="F772">
            <v>1.6161075110592537E-5</v>
          </cell>
          <cell r="G772">
            <v>6.9798662515752865E-6</v>
          </cell>
          <cell r="H772">
            <v>6.2700290252831672E-6</v>
          </cell>
          <cell r="I772">
            <v>6.3779802307236908E-6</v>
          </cell>
          <cell r="J772">
            <v>1.1849439430655224E-7</v>
          </cell>
        </row>
        <row r="773">
          <cell r="A773" t="str">
            <v>SCOM-SHSTG-ELC</v>
          </cell>
          <cell r="B773" t="str">
            <v>VAR_fin</v>
          </cell>
          <cell r="C773" t="str">
            <v>SCOM-SHAELCB</v>
          </cell>
          <cell r="D773">
            <v>6.8355968396402209E-6</v>
          </cell>
          <cell r="E773">
            <v>4.9877347121680985E-5</v>
          </cell>
          <cell r="F773">
            <v>1.9593923862400651E-5</v>
          </cell>
          <cell r="G773">
            <v>8.6215733030372296E-6</v>
          </cell>
          <cell r="H773">
            <v>7.5781881185527127E-6</v>
          </cell>
          <cell r="I773">
            <v>7.2164488375419224E-6</v>
          </cell>
        </row>
        <row r="774">
          <cell r="A774" t="str">
            <v>SCOM-SHSTG-ELC</v>
          </cell>
          <cell r="B774" t="str">
            <v>VAR_ncap</v>
          </cell>
          <cell r="C774" t="str">
            <v>-</v>
          </cell>
          <cell r="D774">
            <v>3.9258507858647299E-3</v>
          </cell>
          <cell r="E774">
            <v>1.42583265826942E-2</v>
          </cell>
          <cell r="F774">
            <v>3.6102936906438401E-6</v>
          </cell>
          <cell r="G774">
            <v>7.2086509103585297E-6</v>
          </cell>
          <cell r="H774">
            <v>1.00975079665159E-3</v>
          </cell>
          <cell r="I774">
            <v>5.5251053134608196E-3</v>
          </cell>
          <cell r="J774">
            <v>3.7083056957650602E-4</v>
          </cell>
        </row>
        <row r="775">
          <cell r="A775" t="str">
            <v>SCOM-SHSTG-ELC</v>
          </cell>
          <cell r="B775" t="str">
            <v>VAR_cap</v>
          </cell>
          <cell r="C775" t="str">
            <v>-</v>
          </cell>
          <cell r="D775">
            <v>3.9258507858647299E-3</v>
          </cell>
          <cell r="E775">
            <v>1.8175774076611917E-2</v>
          </cell>
          <cell r="F775">
            <v>1.7298738014399649E-2</v>
          </cell>
          <cell r="G775">
            <v>1.0683343487200899E-2</v>
          </cell>
          <cell r="H775">
            <v>6.3641540014384096E-3</v>
          </cell>
          <cell r="I775">
            <v>6.5299245280327975E-3</v>
          </cell>
          <cell r="J775">
            <v>4.7905378207789128E-3</v>
          </cell>
        </row>
        <row r="776">
          <cell r="A776" t="str">
            <v>SCOM-SHNGABR</v>
          </cell>
          <cell r="B776" t="str">
            <v>VAR_fout</v>
          </cell>
          <cell r="C776" t="str">
            <v>CO2_S</v>
          </cell>
          <cell r="D776">
            <v>1440.9459833399401</v>
          </cell>
          <cell r="E776">
            <v>1508.68769510365</v>
          </cell>
          <cell r="F776">
            <v>1354.3988583468399</v>
          </cell>
          <cell r="G776">
            <v>1179.9880889321</v>
          </cell>
          <cell r="H776">
            <v>988.36931609475096</v>
          </cell>
          <cell r="I776">
            <v>795.20471851204798</v>
          </cell>
          <cell r="J776">
            <v>465.81614631755298</v>
          </cell>
        </row>
        <row r="777">
          <cell r="A777" t="str">
            <v>SCOM-SHNGABR</v>
          </cell>
          <cell r="B777" t="str">
            <v>VAR_fout</v>
          </cell>
          <cell r="C777" t="str">
            <v>SCOM-SHNGA</v>
          </cell>
          <cell r="D777">
            <v>24.189714900644145</v>
          </cell>
          <cell r="E777">
            <v>25.326921092542829</v>
          </cell>
          <cell r="F777">
            <v>20.5470425238986</v>
          </cell>
          <cell r="G777">
            <v>18.075175015545405</v>
          </cell>
          <cell r="H777">
            <v>15.165487718011574</v>
          </cell>
          <cell r="I777">
            <v>12.201580113342146</v>
          </cell>
          <cell r="J777">
            <v>7.1474588807986725</v>
          </cell>
        </row>
        <row r="778">
          <cell r="A778" t="str">
            <v>SCOM-SHNGABR</v>
          </cell>
          <cell r="B778" t="str">
            <v>VAR_fin</v>
          </cell>
          <cell r="C778" t="str">
            <v>SNGA</v>
          </cell>
          <cell r="D778">
            <v>25.54868764787135</v>
          </cell>
          <cell r="E778">
            <v>26.749781828078916</v>
          </cell>
          <cell r="F778">
            <v>24.014164155085886</v>
          </cell>
          <cell r="G778">
            <v>20.92177462645563</v>
          </cell>
          <cell r="H778">
            <v>17.52427865416227</v>
          </cell>
          <cell r="I778">
            <v>14.099374441702965</v>
          </cell>
          <cell r="J778">
            <v>8.2591515304530745</v>
          </cell>
        </row>
        <row r="779">
          <cell r="A779" t="str">
            <v>SCOM-SHNGABR</v>
          </cell>
          <cell r="B779" t="str">
            <v>VAR_ncap</v>
          </cell>
          <cell r="C779" t="str">
            <v>-</v>
          </cell>
          <cell r="D779">
            <v>5.5688919380623699E-8</v>
          </cell>
          <cell r="E779">
            <v>1.3072988736704301E-7</v>
          </cell>
          <cell r="F779">
            <v>1.15745871262084E-7</v>
          </cell>
          <cell r="G779">
            <v>2.0984510685494E-7</v>
          </cell>
          <cell r="H779">
            <v>0.50360470893345399</v>
          </cell>
          <cell r="I779">
            <v>0.63561370097884495</v>
          </cell>
          <cell r="J779">
            <v>2.7203941263451398E-2</v>
          </cell>
        </row>
        <row r="780">
          <cell r="A780" t="str">
            <v>SCOM-SHNGABR</v>
          </cell>
          <cell r="B780" t="str">
            <v>VAR_cap</v>
          </cell>
          <cell r="C780" t="str">
            <v>-</v>
          </cell>
          <cell r="D780">
            <v>2.7746815535641391</v>
          </cell>
          <cell r="E780">
            <v>2.7746679456434129</v>
          </cell>
          <cell r="F780">
            <v>2.7746565663103984</v>
          </cell>
          <cell r="G780">
            <v>2.7746532885591715</v>
          </cell>
          <cell r="H780">
            <v>1.2231677162578904</v>
          </cell>
          <cell r="I780">
            <v>1.1392181731023341</v>
          </cell>
          <cell r="J780">
            <v>0.70151189764988686</v>
          </cell>
        </row>
        <row r="781">
          <cell r="A781" t="str">
            <v>RHEM-SHELCHP</v>
          </cell>
          <cell r="B781" t="str">
            <v>VAR_fout</v>
          </cell>
          <cell r="C781" t="str">
            <v>RHEM-SHAELCH</v>
          </cell>
          <cell r="D781">
            <v>9.9025308214983543</v>
          </cell>
          <cell r="E781">
            <v>11.655198161598323</v>
          </cell>
          <cell r="F781">
            <v>9.6234113241394041</v>
          </cell>
          <cell r="G781">
            <v>13.22590301199755</v>
          </cell>
          <cell r="H781">
            <v>15.510883816352161</v>
          </cell>
          <cell r="I781">
            <v>17.466701178890862</v>
          </cell>
          <cell r="J781">
            <v>21.579142685052656</v>
          </cell>
        </row>
        <row r="782">
          <cell r="A782" t="str">
            <v>RHEM-SHELCHP</v>
          </cell>
          <cell r="B782" t="str">
            <v>VAR_fin</v>
          </cell>
          <cell r="C782" t="str">
            <v>RHEMELCHPC</v>
          </cell>
          <cell r="D782">
            <v>9.9025308214983543</v>
          </cell>
          <cell r="E782">
            <v>11.655198161598323</v>
          </cell>
          <cell r="F782">
            <v>9.6234113241394041</v>
          </cell>
          <cell r="G782">
            <v>13.22590301199755</v>
          </cell>
          <cell r="H782">
            <v>15.510883816352161</v>
          </cell>
          <cell r="I782">
            <v>17.466701178890862</v>
          </cell>
          <cell r="J782">
            <v>21.579142685052656</v>
          </cell>
        </row>
        <row r="783">
          <cell r="A783" t="str">
            <v>RHEM-SHELCHP</v>
          </cell>
          <cell r="B783" t="str">
            <v>VAR_fin</v>
          </cell>
          <cell r="C783" t="str">
            <v>RHEM_ELC</v>
          </cell>
          <cell r="D783">
            <v>3.0945408817182347</v>
          </cell>
          <cell r="E783">
            <v>3.5825404185240748</v>
          </cell>
          <cell r="F783">
            <v>3.1035416647441769</v>
          </cell>
          <cell r="G783">
            <v>4.0066372862386608</v>
          </cell>
          <cell r="H783">
            <v>4.5169642086530288</v>
          </cell>
          <cell r="I783">
            <v>4.9092110103052304</v>
          </cell>
          <cell r="J783">
            <v>5.5951423833858263</v>
          </cell>
        </row>
        <row r="784">
          <cell r="A784" t="str">
            <v>RHEM-SHELCHP</v>
          </cell>
          <cell r="B784" t="str">
            <v>VAR_ncap</v>
          </cell>
          <cell r="C784" t="str">
            <v>-</v>
          </cell>
          <cell r="D784">
            <v>2.3377229151016999E-7</v>
          </cell>
          <cell r="E784">
            <v>0.123762363941017</v>
          </cell>
          <cell r="F784">
            <v>6.0081750369690006E-8</v>
          </cell>
          <cell r="G784">
            <v>0.110921132986798</v>
          </cell>
          <cell r="H784">
            <v>0.73961855688330302</v>
          </cell>
          <cell r="I784">
            <v>0.41801596576858702</v>
          </cell>
          <cell r="J784">
            <v>0.90756107560015298</v>
          </cell>
        </row>
        <row r="785">
          <cell r="A785" t="str">
            <v>RHEM-SHELCHP</v>
          </cell>
          <cell r="B785" t="str">
            <v>VAR_cap</v>
          </cell>
          <cell r="C785" t="str">
            <v>-</v>
          </cell>
          <cell r="D785">
            <v>0.69925218416429058</v>
          </cell>
          <cell r="E785">
            <v>0.8230145344919102</v>
          </cell>
          <cell r="F785">
            <v>0.82301395147959777</v>
          </cell>
          <cell r="G785">
            <v>0.93393562769729921</v>
          </cell>
          <cell r="H785">
            <v>1.0952886494775167</v>
          </cell>
          <cell r="I785">
            <v>1.2333920699831853</v>
          </cell>
          <cell r="J785">
            <v>1.5237839338926904</v>
          </cell>
        </row>
        <row r="786">
          <cell r="A786" t="str">
            <v>RHNM-SHSTG-ELC</v>
          </cell>
          <cell r="B786" t="str">
            <v>VAR_fout</v>
          </cell>
          <cell r="C786" t="str">
            <v>RHNM-SHAELCB</v>
          </cell>
          <cell r="E786">
            <v>2.3459512732977413E-2</v>
          </cell>
          <cell r="F786">
            <v>5.3058802423173296E-4</v>
          </cell>
          <cell r="G786">
            <v>9.9363810912639306E-4</v>
          </cell>
          <cell r="H786">
            <v>8.6872098729821607E-4</v>
          </cell>
          <cell r="I786">
            <v>1.152914219157098E-3</v>
          </cell>
          <cell r="J786">
            <v>1.0753600504912217E-3</v>
          </cell>
        </row>
        <row r="787">
          <cell r="A787" t="str">
            <v>RHNM-SHSTG-ELC</v>
          </cell>
          <cell r="B787" t="str">
            <v>VAR_fout</v>
          </cell>
          <cell r="C787" t="str">
            <v>AUX_RHNM-SHSTG-ELC_OUT</v>
          </cell>
          <cell r="E787">
            <v>2.3482972245710367E-2</v>
          </cell>
          <cell r="F787">
            <v>5.3111861225596448E-4</v>
          </cell>
          <cell r="G787">
            <v>9.946317472355195E-4</v>
          </cell>
          <cell r="H787">
            <v>8.6958970828551437E-4</v>
          </cell>
          <cell r="I787">
            <v>1.1540671333762549E-3</v>
          </cell>
          <cell r="J787">
            <v>1.0764354105417125E-3</v>
          </cell>
        </row>
        <row r="788">
          <cell r="A788" t="str">
            <v>RHNM-SHSTG-ELC</v>
          </cell>
          <cell r="B788" t="str">
            <v>VAR_fin</v>
          </cell>
          <cell r="C788" t="str">
            <v>RHNM-SHAELCB</v>
          </cell>
          <cell r="E788">
            <v>2.345811012007849E-2</v>
          </cell>
          <cell r="F788">
            <v>5.2911902363287808E-4</v>
          </cell>
          <cell r="G788">
            <v>9.9220939530296655E-4</v>
          </cell>
          <cell r="H788">
            <v>8.6805440226168191E-4</v>
          </cell>
          <cell r="I788">
            <v>1.1521210509506975E-3</v>
          </cell>
          <cell r="J788">
            <v>1.0754231094074937E-3</v>
          </cell>
        </row>
        <row r="789">
          <cell r="A789" t="str">
            <v>RHNM-SHSTG-ELC</v>
          </cell>
          <cell r="B789" t="str">
            <v>VAR_ncap</v>
          </cell>
          <cell r="C789" t="str">
            <v>-</v>
          </cell>
          <cell r="D789">
            <v>2.01469794317124E-4</v>
          </cell>
          <cell r="E789">
            <v>2.2359161090992502E-3</v>
          </cell>
          <cell r="F789">
            <v>9.0321522083130801E-5</v>
          </cell>
          <cell r="G789">
            <v>1.16735151817897E-5</v>
          </cell>
          <cell r="H789">
            <v>3.3068995461932099E-4</v>
          </cell>
          <cell r="I789">
            <v>2.3755846393633198E-5</v>
          </cell>
          <cell r="J789">
            <v>9.7441573413550008E-6</v>
          </cell>
        </row>
        <row r="790">
          <cell r="A790" t="str">
            <v>RHNM-SHSTG-ELC</v>
          </cell>
          <cell r="B790" t="str">
            <v>VAR_cap</v>
          </cell>
          <cell r="C790" t="str">
            <v>-</v>
          </cell>
          <cell r="D790">
            <v>2.01469794317124E-4</v>
          </cell>
          <cell r="E790">
            <v>2.4349745304397753E-3</v>
          </cell>
          <cell r="F790">
            <v>1.22274446727558E-3</v>
          </cell>
          <cell r="G790">
            <v>1.0679758764490302E-3</v>
          </cell>
          <cell r="H790">
            <v>8.8225997149492599E-4</v>
          </cell>
          <cell r="I790">
            <v>3.3935617367516059E-4</v>
          </cell>
          <cell r="J790">
            <v>1.4354115638646998E-4</v>
          </cell>
        </row>
        <row r="791">
          <cell r="A791" t="str">
            <v>D-RWOD</v>
          </cell>
          <cell r="B791" t="str">
            <v>VAR_fout</v>
          </cell>
          <cell r="C791" t="str">
            <v>RWOD</v>
          </cell>
          <cell r="D791">
            <v>13.722996182627357</v>
          </cell>
          <cell r="E791">
            <v>13.882341117139855</v>
          </cell>
          <cell r="F791">
            <v>16.367566608176794</v>
          </cell>
          <cell r="G791">
            <v>15.497554640874373</v>
          </cell>
          <cell r="H791">
            <v>13.993119004726987</v>
          </cell>
          <cell r="I791">
            <v>12.744310816309323</v>
          </cell>
          <cell r="J791">
            <v>10.108035173645831</v>
          </cell>
        </row>
        <row r="792">
          <cell r="A792" t="str">
            <v>D-RWOD</v>
          </cell>
          <cell r="B792" t="str">
            <v>VAR_fin</v>
          </cell>
          <cell r="C792" t="str">
            <v>WOD</v>
          </cell>
          <cell r="D792">
            <v>13.722996182627357</v>
          </cell>
          <cell r="E792">
            <v>13.882341117139855</v>
          </cell>
          <cell r="F792">
            <v>16.367566608176794</v>
          </cell>
          <cell r="G792">
            <v>15.497554640874373</v>
          </cell>
          <cell r="H792">
            <v>13.993119004726987</v>
          </cell>
          <cell r="I792">
            <v>12.744310816309323</v>
          </cell>
          <cell r="J792">
            <v>10.108035173645831</v>
          </cell>
        </row>
        <row r="793">
          <cell r="A793" t="str">
            <v>RHNS-SHLTHCHPWOD</v>
          </cell>
          <cell r="B793" t="str">
            <v>VAR_ncap</v>
          </cell>
          <cell r="C793" t="str">
            <v>-</v>
          </cell>
          <cell r="G793">
            <v>2.19691986644669E-6</v>
          </cell>
          <cell r="H793">
            <v>3.5616917002796501E-6</v>
          </cell>
          <cell r="I793">
            <v>2.1700320658973498E-6</v>
          </cell>
          <cell r="J793">
            <v>1.1384580447522801E-6</v>
          </cell>
        </row>
        <row r="794">
          <cell r="A794" t="str">
            <v>RHNS-SHLTHCHPWOD</v>
          </cell>
          <cell r="B794" t="str">
            <v>VAR_cap</v>
          </cell>
          <cell r="C794" t="str">
            <v>-</v>
          </cell>
          <cell r="G794">
            <v>2.19691986644669E-6</v>
          </cell>
          <cell r="H794">
            <v>4.6111376790152904E-6</v>
          </cell>
          <cell r="I794">
            <v>3.9216225265610099E-6</v>
          </cell>
          <cell r="J794">
            <v>1.9385611930681702E-6</v>
          </cell>
        </row>
        <row r="795">
          <cell r="A795" t="str">
            <v>RHNM-SHELCBR</v>
          </cell>
          <cell r="B795" t="str">
            <v>VAR_fout</v>
          </cell>
          <cell r="C795" t="str">
            <v>RHNM-SHAELCB</v>
          </cell>
          <cell r="E795">
            <v>0.15438659894549148</v>
          </cell>
          <cell r="F795">
            <v>1.350956598447669E-3</v>
          </cell>
          <cell r="G795">
            <v>3.8196717426925821E-3</v>
          </cell>
          <cell r="H795">
            <v>5.1230695775825851E-3</v>
          </cell>
          <cell r="I795">
            <v>5.9063576112642251E-3</v>
          </cell>
          <cell r="J795">
            <v>7.4758273663606146E-3</v>
          </cell>
        </row>
        <row r="796">
          <cell r="A796" t="str">
            <v>RHNM-SHELCBR</v>
          </cell>
          <cell r="B796" t="str">
            <v>VAR_fin</v>
          </cell>
          <cell r="C796" t="str">
            <v>RHNM_ELC</v>
          </cell>
          <cell r="E796">
            <v>0.16251220941630673</v>
          </cell>
          <cell r="F796">
            <v>1.4220595773133361E-3</v>
          </cell>
          <cell r="G796">
            <v>4.0207070975711353E-3</v>
          </cell>
          <cell r="H796">
            <v>5.3927048185079896E-3</v>
          </cell>
          <cell r="I796">
            <v>6.2172185381728726E-3</v>
          </cell>
          <cell r="J796">
            <v>7.8692919645901287E-3</v>
          </cell>
        </row>
        <row r="797">
          <cell r="A797" t="str">
            <v>RHNM-SHELCBR</v>
          </cell>
          <cell r="B797" t="str">
            <v>VAR_ncap</v>
          </cell>
          <cell r="C797" t="str">
            <v>-</v>
          </cell>
          <cell r="E797">
            <v>1.2012356929741499E-2</v>
          </cell>
          <cell r="H797">
            <v>1.4403090765122801E-3</v>
          </cell>
        </row>
        <row r="798">
          <cell r="A798" t="str">
            <v>RHNM-SHELCBR</v>
          </cell>
          <cell r="B798" t="str">
            <v>VAR_cap</v>
          </cell>
          <cell r="C798" t="str">
            <v>-</v>
          </cell>
          <cell r="E798">
            <v>1.2012356929741499E-2</v>
          </cell>
          <cell r="F798">
            <v>5.1975741927703187E-3</v>
          </cell>
          <cell r="G798">
            <v>4.5381903010538894E-3</v>
          </cell>
          <cell r="H798">
            <v>3.7521056273285298E-3</v>
          </cell>
          <cell r="I798">
            <v>1.4402183588580202E-3</v>
          </cell>
          <cell r="J798">
            <v>6.0910001869692693E-4</v>
          </cell>
        </row>
        <row r="799">
          <cell r="A799" t="str">
            <v>RHNS-SHSTG-NGAHP</v>
          </cell>
          <cell r="B799" t="str">
            <v>VAR_fout</v>
          </cell>
          <cell r="C799" t="str">
            <v>RHNS-SHANGAH</v>
          </cell>
          <cell r="F799">
            <v>7.2326017492354592E-3</v>
          </cell>
          <cell r="G799">
            <v>2.5958260371447533E-2</v>
          </cell>
          <cell r="H799">
            <v>3.793640166073256E-2</v>
          </cell>
          <cell r="I799">
            <v>4.5654504983775955E-2</v>
          </cell>
          <cell r="J799">
            <v>6.1718649259432587E-2</v>
          </cell>
        </row>
        <row r="800">
          <cell r="A800" t="str">
            <v>RHNS-SHSTG-NGAHP</v>
          </cell>
          <cell r="B800" t="str">
            <v>VAR_fout</v>
          </cell>
          <cell r="C800" t="str">
            <v>AUX_RHNS-SHSTG-NGAHP_OUT</v>
          </cell>
          <cell r="F800">
            <v>7.239834350984695E-3</v>
          </cell>
          <cell r="G800">
            <v>2.5984218631818972E-2</v>
          </cell>
          <cell r="H800">
            <v>3.7974338062393281E-2</v>
          </cell>
          <cell r="I800">
            <v>4.5700159488759717E-2</v>
          </cell>
          <cell r="J800">
            <v>6.1780367908692041E-2</v>
          </cell>
        </row>
        <row r="801">
          <cell r="A801" t="str">
            <v>RHNS-SHSTG-NGAHP</v>
          </cell>
          <cell r="B801" t="str">
            <v>VAR_fin</v>
          </cell>
          <cell r="C801" t="str">
            <v>RHNS-SHANGAH</v>
          </cell>
          <cell r="F801">
            <v>7.2455451976143797E-3</v>
          </cell>
          <cell r="G801">
            <v>2.5968956101271472E-2</v>
          </cell>
          <cell r="H801">
            <v>3.7942753097109233E-2</v>
          </cell>
          <cell r="I801">
            <v>4.5661277881458913E-2</v>
          </cell>
          <cell r="J801">
            <v>6.1725336993886916E-2</v>
          </cell>
        </row>
        <row r="802">
          <cell r="A802" t="str">
            <v>RHNS-SHSTG-NGAHP</v>
          </cell>
          <cell r="B802" t="str">
            <v>VAR_ncap</v>
          </cell>
          <cell r="C802" t="str">
            <v>-</v>
          </cell>
          <cell r="D802">
            <v>2.37427598075202E-6</v>
          </cell>
          <cell r="E802">
            <v>3.43862785794108E-6</v>
          </cell>
          <cell r="F802">
            <v>2.1451407450883901E-3</v>
          </cell>
          <cell r="G802">
            <v>4.7811758099429004E-3</v>
          </cell>
          <cell r="H802">
            <v>3.0488395555876E-3</v>
          </cell>
          <cell r="I802">
            <v>5.8172993227092098E-3</v>
          </cell>
          <cell r="J802">
            <v>1.1236417559480899E-2</v>
          </cell>
        </row>
        <row r="803">
          <cell r="A803" t="str">
            <v>RHNS-SHSTG-NGAHP</v>
          </cell>
          <cell r="B803" t="str">
            <v>VAR_cap</v>
          </cell>
          <cell r="C803" t="str">
            <v>-</v>
          </cell>
          <cell r="D803">
            <v>2.37427598075202E-6</v>
          </cell>
          <cell r="E803">
            <v>3.4495045143778985E-7</v>
          </cell>
          <cell r="F803">
            <v>2.144848540388153E-3</v>
          </cell>
          <cell r="G803">
            <v>6.9253885242626127E-3</v>
          </cell>
          <cell r="H803">
            <v>9.9632335911700835E-3</v>
          </cell>
          <cell r="I803">
            <v>1.2496627074607695E-2</v>
          </cell>
          <cell r="J803">
            <v>1.6737671196031846E-2</v>
          </cell>
        </row>
        <row r="804">
          <cell r="A804" t="str">
            <v>RHNS-SHLTHDH</v>
          </cell>
          <cell r="B804" t="str">
            <v>VAR_fout</v>
          </cell>
          <cell r="C804" t="str">
            <v>RHNS-SHLTHD</v>
          </cell>
          <cell r="E804">
            <v>5.3922243184483298E-2</v>
          </cell>
          <cell r="F804">
            <v>4.1011425430080564E-3</v>
          </cell>
          <cell r="G804">
            <v>6.5639675716872804E-3</v>
          </cell>
          <cell r="H804">
            <v>8.5810744891287975E-3</v>
          </cell>
          <cell r="I804">
            <v>1.036838731732311E-2</v>
          </cell>
          <cell r="J804">
            <v>1.281722955619893E-2</v>
          </cell>
        </row>
        <row r="805">
          <cell r="A805" t="str">
            <v>RHNS-SHLTHDH</v>
          </cell>
          <cell r="B805" t="str">
            <v>VAR_fin</v>
          </cell>
          <cell r="C805" t="str">
            <v>RHNS_LTH_DH</v>
          </cell>
          <cell r="E805">
            <v>5.4466912307558943E-2</v>
          </cell>
          <cell r="F805">
            <v>4.5359512516003819E-3</v>
          </cell>
          <cell r="G805">
            <v>7.2450137821379679E-3</v>
          </cell>
          <cell r="H805">
            <v>9.4539097022121737E-3</v>
          </cell>
          <cell r="I805">
            <v>1.1406278450731302E-2</v>
          </cell>
          <cell r="J805">
            <v>1.4097829013283216E-2</v>
          </cell>
        </row>
        <row r="806">
          <cell r="A806" t="str">
            <v>RHNS-SHLTHDH</v>
          </cell>
          <cell r="B806" t="str">
            <v>VAR_fin</v>
          </cell>
          <cell r="C806" t="str">
            <v>RHNSLTHDHC</v>
          </cell>
          <cell r="E806">
            <v>5.3922243184483298E-2</v>
          </cell>
          <cell r="F806">
            <v>4.1011425430080564E-3</v>
          </cell>
          <cell r="G806">
            <v>6.5639675716872804E-3</v>
          </cell>
          <cell r="H806">
            <v>8.5810744891287975E-3</v>
          </cell>
          <cell r="I806">
            <v>1.036838731732311E-2</v>
          </cell>
          <cell r="J806">
            <v>1.281722955619893E-2</v>
          </cell>
        </row>
        <row r="807">
          <cell r="A807" t="str">
            <v>RHNS-SHLTHDH</v>
          </cell>
          <cell r="B807" t="str">
            <v>VAR_ncap</v>
          </cell>
          <cell r="C807" t="str">
            <v>-</v>
          </cell>
          <cell r="E807">
            <v>5.3354651007589404E-3</v>
          </cell>
          <cell r="F807">
            <v>5.5064724586719599E-3</v>
          </cell>
          <cell r="G807">
            <v>2.91408037560008E-3</v>
          </cell>
          <cell r="H807">
            <v>2.9298734369950299E-2</v>
          </cell>
          <cell r="I807">
            <v>9.7953460896583397E-3</v>
          </cell>
          <cell r="J807">
            <v>4.2648068348909602E-4</v>
          </cell>
        </row>
        <row r="808">
          <cell r="A808" t="str">
            <v>RHNS-SHLTHDH</v>
          </cell>
          <cell r="B808" t="str">
            <v>VAR_cap</v>
          </cell>
          <cell r="C808" t="str">
            <v>-</v>
          </cell>
          <cell r="E808">
            <v>5.3354651007589404E-3</v>
          </cell>
          <cell r="F808">
            <v>7.9105838198784608E-3</v>
          </cell>
          <cell r="G808">
            <v>5.87208634703827E-3</v>
          </cell>
          <cell r="H808">
            <v>3.356173104758068E-2</v>
          </cell>
          <cell r="I808">
            <v>3.7493909892304299E-2</v>
          </cell>
          <cell r="J808">
            <v>2.172992290413199E-3</v>
          </cell>
        </row>
        <row r="809">
          <cell r="A809" t="str">
            <v>ITOT-SWHNGAHP</v>
          </cell>
          <cell r="B809" t="str">
            <v>VAR_fout</v>
          </cell>
          <cell r="C809" t="str">
            <v>ITOT-SWHANGAH</v>
          </cell>
          <cell r="F809">
            <v>2.642700299469216E-2</v>
          </cell>
          <cell r="G809">
            <v>2.7232758394501656E-2</v>
          </cell>
          <cell r="H809">
            <v>1.2728069284971022E-2</v>
          </cell>
          <cell r="I809">
            <v>0.14232722773976317</v>
          </cell>
          <cell r="J809">
            <v>0.1033640009270524</v>
          </cell>
        </row>
        <row r="810">
          <cell r="A810" t="str">
            <v>ITOT-SWHNGAHP</v>
          </cell>
          <cell r="B810" t="str">
            <v>VAR_fout</v>
          </cell>
          <cell r="C810" t="str">
            <v>CO2_I</v>
          </cell>
          <cell r="F810">
            <v>0.79052930679071198</v>
          </cell>
          <cell r="G810">
            <v>0.799021764792891</v>
          </cell>
          <cell r="H810">
            <v>0.366425703771184</v>
          </cell>
          <cell r="I810">
            <v>4.0218084213271101</v>
          </cell>
          <cell r="J810">
            <v>2.8168337093115898</v>
          </cell>
        </row>
        <row r="811">
          <cell r="A811" t="str">
            <v>ITOT-SWHNGAHP</v>
          </cell>
          <cell r="B811" t="str">
            <v>VAR_fin</v>
          </cell>
          <cell r="C811" t="str">
            <v>ITOTELCHPC</v>
          </cell>
          <cell r="F811">
            <v>2.642700299469216E-2</v>
          </cell>
          <cell r="G811">
            <v>2.7232758394501656E-2</v>
          </cell>
          <cell r="H811">
            <v>1.2728069284971022E-2</v>
          </cell>
          <cell r="I811">
            <v>0.14232722773976317</v>
          </cell>
          <cell r="J811">
            <v>0.1033640009270524</v>
          </cell>
        </row>
        <row r="812">
          <cell r="A812" t="str">
            <v>ITOT-SWHNGAHP</v>
          </cell>
          <cell r="B812" t="str">
            <v>VAR_fin</v>
          </cell>
          <cell r="C812" t="str">
            <v>INGA</v>
          </cell>
          <cell r="F812">
            <v>1.4016477070757295E-2</v>
          </cell>
          <cell r="G812">
            <v>1.4167052567249852E-2</v>
          </cell>
          <cell r="H812">
            <v>6.4969096413330521E-3</v>
          </cell>
          <cell r="I812">
            <v>7.1308659952608197E-2</v>
          </cell>
          <cell r="J812">
            <v>4.9943860094177041E-2</v>
          </cell>
        </row>
        <row r="813">
          <cell r="A813" t="str">
            <v>ITOT-SWHNGAHP</v>
          </cell>
          <cell r="B813" t="str">
            <v>VAR_ncap</v>
          </cell>
          <cell r="C813" t="str">
            <v>-</v>
          </cell>
          <cell r="E813">
            <v>1.48733475667684E-3</v>
          </cell>
          <cell r="F813">
            <v>1.9621509136356099E-5</v>
          </cell>
          <cell r="G813">
            <v>4.2318925798125303E-6</v>
          </cell>
          <cell r="H813">
            <v>8.3802821483340199E-6</v>
          </cell>
          <cell r="I813">
            <v>7.7681610886865503E-3</v>
          </cell>
          <cell r="J813">
            <v>6.2930400495448299E-6</v>
          </cell>
        </row>
        <row r="814">
          <cell r="A814" t="str">
            <v>ITOT-SWHNGAHP</v>
          </cell>
          <cell r="B814" t="str">
            <v>VAR_cap</v>
          </cell>
          <cell r="C814" t="str">
            <v>-</v>
          </cell>
          <cell r="E814">
            <v>1.48733475667684E-3</v>
          </cell>
          <cell r="F814">
            <v>1.5068196845644504E-3</v>
          </cell>
          <cell r="G814">
            <v>1.5108812864804953E-3</v>
          </cell>
          <cell r="H814">
            <v>7.9314666816771712E-4</v>
          </cell>
          <cell r="I814">
            <v>7.7823665463980507E-3</v>
          </cell>
          <cell r="J814">
            <v>5.6472040115120017E-3</v>
          </cell>
        </row>
        <row r="815">
          <cell r="A815" t="str">
            <v>RHSA-WHLFOBR</v>
          </cell>
          <cell r="B815" t="str">
            <v>VAR_fout</v>
          </cell>
          <cell r="C815" t="str">
            <v>CO2_R</v>
          </cell>
          <cell r="D815">
            <v>726.71233880881096</v>
          </cell>
          <cell r="E815">
            <v>611.83978968743895</v>
          </cell>
          <cell r="F815">
            <v>683.86181054192105</v>
          </cell>
          <cell r="G815">
            <v>434.66293770929002</v>
          </cell>
          <cell r="H815">
            <v>302.70275882150298</v>
          </cell>
          <cell r="I815">
            <v>238.240844107143</v>
          </cell>
          <cell r="J815">
            <v>106.61851103859701</v>
          </cell>
        </row>
        <row r="816">
          <cell r="A816" t="str">
            <v>RHSA-WHLFOBR</v>
          </cell>
          <cell r="B816" t="str">
            <v>VAR_fout</v>
          </cell>
          <cell r="C816" t="str">
            <v>RHSA-WHLFO</v>
          </cell>
          <cell r="D816">
            <v>6.9844582540421731</v>
          </cell>
          <cell r="E816">
            <v>5.9323000865782296</v>
          </cell>
          <cell r="F816">
            <v>4.6761390939225889</v>
          </cell>
          <cell r="G816">
            <v>3.1017927696240957</v>
          </cell>
          <cell r="H816">
            <v>2.2348957961090803</v>
          </cell>
          <cell r="I816">
            <v>1.787342897557235</v>
          </cell>
          <cell r="J816">
            <v>0.82112393365171088</v>
          </cell>
        </row>
        <row r="817">
          <cell r="A817" t="str">
            <v>RHSA-WHLFOBR</v>
          </cell>
          <cell r="B817" t="str">
            <v>VAR_fin</v>
          </cell>
          <cell r="C817" t="str">
            <v>RLFO</v>
          </cell>
          <cell r="D817">
            <v>9.8604116527654213</v>
          </cell>
          <cell r="E817">
            <v>8.3017610541036557</v>
          </cell>
          <cell r="F817">
            <v>9.2789933587777718</v>
          </cell>
          <cell r="G817">
            <v>5.8977332117949812</v>
          </cell>
          <cell r="H817">
            <v>4.1072287492741264</v>
          </cell>
          <cell r="I817">
            <v>3.2325759037604227</v>
          </cell>
          <cell r="J817">
            <v>1.4466555093432427</v>
          </cell>
        </row>
        <row r="818">
          <cell r="A818" t="str">
            <v>RHSA-WHLFOBR</v>
          </cell>
          <cell r="B818" t="str">
            <v>VAR_ncap</v>
          </cell>
          <cell r="C818" t="str">
            <v>-</v>
          </cell>
          <cell r="E818">
            <v>2.7822498894335399E-8</v>
          </cell>
          <cell r="F818">
            <v>2.4241944666567001E-8</v>
          </cell>
          <cell r="G818">
            <v>4.9853241502545902E-8</v>
          </cell>
          <cell r="H818">
            <v>4.1535833854484699E-2</v>
          </cell>
          <cell r="I818">
            <v>8.0630213134870302E-2</v>
          </cell>
        </row>
        <row r="819">
          <cell r="A819" t="str">
            <v>RHSA-WHLFOBR</v>
          </cell>
          <cell r="B819" t="str">
            <v>VAR_cap</v>
          </cell>
          <cell r="C819" t="str">
            <v>-</v>
          </cell>
          <cell r="D819">
            <v>0.47738433216181703</v>
          </cell>
          <cell r="E819">
            <v>0.45689174870563454</v>
          </cell>
          <cell r="F819">
            <v>0.43902724164701568</v>
          </cell>
          <cell r="G819">
            <v>0.4390011972085186</v>
          </cell>
          <cell r="H819">
            <v>0.15538368350550044</v>
          </cell>
          <cell r="I819">
            <v>0.12216600597785181</v>
          </cell>
          <cell r="J819">
            <v>6.9566927818415364E-2</v>
          </cell>
        </row>
        <row r="820">
          <cell r="A820" t="str">
            <v>D-IWST</v>
          </cell>
          <cell r="B820" t="str">
            <v>VAR_fout</v>
          </cell>
          <cell r="C820" t="str">
            <v>CO2</v>
          </cell>
          <cell r="D820">
            <v>1068.12878236547</v>
          </cell>
          <cell r="E820">
            <v>1094.4819841784099</v>
          </cell>
          <cell r="F820">
            <v>1024.6412594920901</v>
          </cell>
          <cell r="G820">
            <v>1013.1979718591</v>
          </cell>
          <cell r="H820">
            <v>1001.75486510258</v>
          </cell>
          <cell r="I820">
            <v>996.698291047005</v>
          </cell>
          <cell r="J820">
            <v>986.585127892983</v>
          </cell>
        </row>
        <row r="821">
          <cell r="A821" t="str">
            <v>D-IWST</v>
          </cell>
          <cell r="B821" t="str">
            <v>VAR_fout</v>
          </cell>
          <cell r="C821" t="str">
            <v>IWST</v>
          </cell>
          <cell r="D821">
            <v>11.510008430662419</v>
          </cell>
          <cell r="E821">
            <v>11.793986898474298</v>
          </cell>
          <cell r="F821">
            <v>11.041392882457835</v>
          </cell>
          <cell r="G821">
            <v>10.91808159330926</v>
          </cell>
          <cell r="H821">
            <v>10.794772253260559</v>
          </cell>
          <cell r="I821">
            <v>10.740283308696172</v>
          </cell>
          <cell r="J821">
            <v>10.631305257467478</v>
          </cell>
        </row>
        <row r="822">
          <cell r="A822" t="str">
            <v>D-IWST</v>
          </cell>
          <cell r="B822" t="str">
            <v>VAR_fin</v>
          </cell>
          <cell r="C822" t="str">
            <v>WSTNREN</v>
          </cell>
          <cell r="D822">
            <v>11.510008430662419</v>
          </cell>
          <cell r="E822">
            <v>11.793986898474298</v>
          </cell>
          <cell r="F822">
            <v>11.041392882457835</v>
          </cell>
          <cell r="G822">
            <v>10.91808159330926</v>
          </cell>
          <cell r="H822">
            <v>10.794772253260559</v>
          </cell>
          <cell r="I822">
            <v>10.740283308696172</v>
          </cell>
          <cell r="J822">
            <v>10.631305257467478</v>
          </cell>
        </row>
        <row r="823">
          <cell r="A823" t="str">
            <v>RHES-SHLFOBR</v>
          </cell>
          <cell r="B823" t="str">
            <v>VAR_fout</v>
          </cell>
          <cell r="C823" t="str">
            <v>CO2_R</v>
          </cell>
          <cell r="D823">
            <v>1783.6627964122099</v>
          </cell>
          <cell r="E823">
            <v>1640.9695176927601</v>
          </cell>
          <cell r="F823">
            <v>1268.43626846142</v>
          </cell>
          <cell r="G823">
            <v>812.78237537771997</v>
          </cell>
          <cell r="H823">
            <v>551.27818116813796</v>
          </cell>
          <cell r="I823">
            <v>386.81003362253102</v>
          </cell>
          <cell r="J823">
            <v>108.330671289251</v>
          </cell>
        </row>
        <row r="824">
          <cell r="A824" t="str">
            <v>RHES-SHLFOBR</v>
          </cell>
          <cell r="B824" t="str">
            <v>VAR_fout</v>
          </cell>
          <cell r="C824" t="str">
            <v>RHES-SHLFO</v>
          </cell>
          <cell r="D824">
            <v>21.680659273441051</v>
          </cell>
          <cell r="E824">
            <v>19.946203431928069</v>
          </cell>
          <cell r="F824">
            <v>14.636431577415307</v>
          </cell>
          <cell r="G824">
            <v>9.5255365438414739</v>
          </cell>
          <cell r="H824">
            <v>6.5348431739919901</v>
          </cell>
          <cell r="I824">
            <v>4.6077547669595686</v>
          </cell>
          <cell r="J824">
            <v>1.2947517719618822</v>
          </cell>
        </row>
        <row r="825">
          <cell r="A825" t="str">
            <v>RHES-SHLFOBR</v>
          </cell>
          <cell r="B825" t="str">
            <v>VAR_fin</v>
          </cell>
          <cell r="C825" t="str">
            <v>RLFO</v>
          </cell>
          <cell r="D825">
            <v>24.201666165701621</v>
          </cell>
          <cell r="E825">
            <v>22.265529412384808</v>
          </cell>
          <cell r="F825">
            <v>17.210804185365284</v>
          </cell>
          <cell r="G825">
            <v>11.028254754107465</v>
          </cell>
          <cell r="H825">
            <v>7.4800295952257532</v>
          </cell>
          <cell r="I825">
            <v>5.2484400762894206</v>
          </cell>
          <cell r="J825">
            <v>1.4698869917130373</v>
          </cell>
        </row>
        <row r="826">
          <cell r="A826" t="str">
            <v>RHES-SHLFOBR</v>
          </cell>
          <cell r="B826" t="str">
            <v>VAR_ncap</v>
          </cell>
          <cell r="C826" t="str">
            <v>-</v>
          </cell>
          <cell r="E826">
            <v>1.5814300917477999E-8</v>
          </cell>
          <cell r="F826">
            <v>1.5579360450329E-8</v>
          </cell>
          <cell r="G826">
            <v>3.4252618474154399E-8</v>
          </cell>
          <cell r="H826">
            <v>8.4546459781613806E-2</v>
          </cell>
          <cell r="I826">
            <v>0.28770747853020101</v>
          </cell>
          <cell r="J826">
            <v>2.0193244814949201E-8</v>
          </cell>
        </row>
        <row r="827">
          <cell r="A827" t="str">
            <v>RHES-SHLFOBR</v>
          </cell>
          <cell r="B827" t="str">
            <v>VAR_cap</v>
          </cell>
          <cell r="C827" t="str">
            <v>-</v>
          </cell>
          <cell r="D827">
            <v>1.7515307393373001</v>
          </cell>
          <cell r="E827">
            <v>1.7515196698299593</v>
          </cell>
          <cell r="F827">
            <v>1.7098722115754466</v>
          </cell>
          <cell r="G827">
            <v>1.7098652020202618</v>
          </cell>
          <cell r="H827">
            <v>0.52797328319720715</v>
          </cell>
          <cell r="I827">
            <v>0.37225391761976118</v>
          </cell>
          <cell r="J827">
            <v>0.11125563832670099</v>
          </cell>
        </row>
        <row r="828">
          <cell r="A828" t="str">
            <v>ITOT-SWHSTG</v>
          </cell>
          <cell r="B828" t="str">
            <v>VAR_fout</v>
          </cell>
          <cell r="C828" t="str">
            <v>ITOT-SWH</v>
          </cell>
          <cell r="D828">
            <v>3.1462681668827203E-6</v>
          </cell>
          <cell r="E828">
            <v>7.1609809254594527E-5</v>
          </cell>
          <cell r="F828">
            <v>1.1589102693310253E-3</v>
          </cell>
          <cell r="G828">
            <v>4.6870481600362797E-4</v>
          </cell>
          <cell r="H828">
            <v>1.0659940304128767E-3</v>
          </cell>
          <cell r="I828">
            <v>9.4374362047953541E-4</v>
          </cell>
          <cell r="J828">
            <v>3.4454711225630659E-3</v>
          </cell>
        </row>
        <row r="829">
          <cell r="A829" t="str">
            <v>ITOT-SWHSTG</v>
          </cell>
          <cell r="B829" t="str">
            <v>VAR_fout</v>
          </cell>
          <cell r="C829" t="str">
            <v>AUX_ITOT-STG_OUT</v>
          </cell>
          <cell r="D829">
            <v>3.1462681668827148E-6</v>
          </cell>
          <cell r="E829">
            <v>7.155132541262246E-5</v>
          </cell>
          <cell r="F829">
            <v>1.1574320674568777E-3</v>
          </cell>
          <cell r="G829">
            <v>4.6870481600362867E-4</v>
          </cell>
          <cell r="H829">
            <v>1.0648095926013082E-3</v>
          </cell>
          <cell r="I829">
            <v>9.4374362047953617E-4</v>
          </cell>
          <cell r="J829">
            <v>3.4454711225630663E-3</v>
          </cell>
        </row>
        <row r="830">
          <cell r="A830" t="str">
            <v>ITOT-SWHSTG</v>
          </cell>
          <cell r="B830" t="str">
            <v>VAR_fin</v>
          </cell>
          <cell r="C830" t="str">
            <v>AUX_ITOT-STG_IN</v>
          </cell>
          <cell r="D830">
            <v>3.8844038686740702E-6</v>
          </cell>
          <cell r="E830">
            <v>8.7112769578523007E-5</v>
          </cell>
          <cell r="F830">
            <v>1.3796550832848398E-3</v>
          </cell>
          <cell r="G830">
            <v>5.3874116762491766E-4</v>
          </cell>
          <cell r="H830">
            <v>1.1844378149960825E-3</v>
          </cell>
          <cell r="I830">
            <v>1.0147780857810323E-3</v>
          </cell>
          <cell r="J830">
            <v>3.4802738583215608E-3</v>
          </cell>
        </row>
        <row r="831">
          <cell r="A831" t="str">
            <v>ITOT-SWHSTG</v>
          </cell>
          <cell r="B831" t="str">
            <v>VAR_fin</v>
          </cell>
          <cell r="C831" t="str">
            <v>ITOT-SWH</v>
          </cell>
          <cell r="D831">
            <v>3.8844038686740702E-6</v>
          </cell>
          <cell r="E831">
            <v>8.7112769578523007E-5</v>
          </cell>
          <cell r="F831">
            <v>1.3796550832848398E-3</v>
          </cell>
          <cell r="G831">
            <v>5.3874116762491766E-4</v>
          </cell>
          <cell r="H831">
            <v>1.1844378149960825E-3</v>
          </cell>
          <cell r="I831">
            <v>1.0147780857810323E-3</v>
          </cell>
          <cell r="J831">
            <v>3.4802738583215608E-3</v>
          </cell>
        </row>
        <row r="832">
          <cell r="A832" t="str">
            <v>ITOT-SWHSTG</v>
          </cell>
          <cell r="B832" t="str">
            <v>VAR_ncap</v>
          </cell>
          <cell r="C832" t="str">
            <v>-</v>
          </cell>
          <cell r="D832">
            <v>2.6198790299127099E-4</v>
          </cell>
          <cell r="E832">
            <v>9.5666558762462294E-7</v>
          </cell>
          <cell r="F832">
            <v>1.06654749316858E-6</v>
          </cell>
          <cell r="G832">
            <v>7.3194310664575697E-7</v>
          </cell>
          <cell r="H832">
            <v>3.2783138102901699E-4</v>
          </cell>
          <cell r="I832">
            <v>2.29283154005773E-5</v>
          </cell>
          <cell r="J832">
            <v>4.0634121471459301E-4</v>
          </cell>
        </row>
        <row r="833">
          <cell r="A833" t="str">
            <v>ITOT-SWHSTG</v>
          </cell>
          <cell r="B833" t="str">
            <v>VAR_cap</v>
          </cell>
          <cell r="C833" t="str">
            <v>-</v>
          </cell>
          <cell r="D833">
            <v>2.6198790299127099E-4</v>
          </cell>
          <cell r="E833">
            <v>2.6267985736652232E-4</v>
          </cell>
          <cell r="F833">
            <v>2.6350633702826673E-4</v>
          </cell>
          <cell r="G833">
            <v>2.6366706409023538E-4</v>
          </cell>
          <cell r="H833">
            <v>3.9600010585527976E-4</v>
          </cell>
          <cell r="I833">
            <v>3.5036045199292906E-4</v>
          </cell>
          <cell r="J833">
            <v>5.6048911452507579E-4</v>
          </cell>
        </row>
        <row r="834">
          <cell r="A834" t="str">
            <v>SCOM-SHLFOBR</v>
          </cell>
          <cell r="B834" t="str">
            <v>VAR_fout</v>
          </cell>
          <cell r="C834" t="str">
            <v>CO2_S</v>
          </cell>
          <cell r="D834">
            <v>2229.91392988712</v>
          </cell>
          <cell r="E834">
            <v>1945.70741851398</v>
          </cell>
          <cell r="F834">
            <v>1994.1581622514</v>
          </cell>
          <cell r="G834">
            <v>1441.3650257311299</v>
          </cell>
          <cell r="H834">
            <v>1120.1626915608699</v>
          </cell>
          <cell r="I834">
            <v>899.84839860398495</v>
          </cell>
          <cell r="J834">
            <v>383.88235477196503</v>
          </cell>
        </row>
        <row r="835">
          <cell r="A835" t="str">
            <v>SCOM-SHLFOBR</v>
          </cell>
          <cell r="B835" t="str">
            <v>VAR_fout</v>
          </cell>
          <cell r="C835" t="str">
            <v>SCOM-SHLFO</v>
          </cell>
          <cell r="D835">
            <v>24.843069628867219</v>
          </cell>
          <cell r="E835">
            <v>21.719700361978994</v>
          </cell>
          <cell r="F835">
            <v>21.493883801556422</v>
          </cell>
          <cell r="G835">
            <v>15.849715032645875</v>
          </cell>
          <cell r="H835">
            <v>12.424579567967138</v>
          </cell>
          <cell r="I835">
            <v>9.9809055521962939</v>
          </cell>
          <cell r="J835">
            <v>4.257932260676152</v>
          </cell>
        </row>
        <row r="836">
          <cell r="A836" t="str">
            <v>SCOM-SHLFOBR</v>
          </cell>
          <cell r="B836" t="str">
            <v>VAR_fin</v>
          </cell>
          <cell r="C836" t="str">
            <v>SLFO</v>
          </cell>
          <cell r="D836">
            <v>30.256634055456193</v>
          </cell>
          <cell r="E836">
            <v>26.400372028683567</v>
          </cell>
          <cell r="F836">
            <v>27.057776964062349</v>
          </cell>
          <cell r="G836">
            <v>19.557191665279888</v>
          </cell>
          <cell r="H836">
            <v>15.198951038817778</v>
          </cell>
          <cell r="I836">
            <v>12.209611921356656</v>
          </cell>
          <cell r="J836">
            <v>5.2087158042328978</v>
          </cell>
        </row>
        <row r="837">
          <cell r="A837" t="str">
            <v>SCOM-SHLFOBR</v>
          </cell>
          <cell r="B837" t="str">
            <v>VAR_ncap</v>
          </cell>
          <cell r="C837" t="str">
            <v>-</v>
          </cell>
          <cell r="D837">
            <v>2.0306033124240299E-7</v>
          </cell>
          <cell r="E837">
            <v>1.23126981567458E-7</v>
          </cell>
          <cell r="F837">
            <v>9.3180723348508404E-8</v>
          </cell>
          <cell r="G837">
            <v>1.61562859752977E-7</v>
          </cell>
          <cell r="H837">
            <v>0.48299020413327198</v>
          </cell>
          <cell r="I837">
            <v>0.29176500191292898</v>
          </cell>
          <cell r="J837">
            <v>2.2799434292455599E-7</v>
          </cell>
        </row>
        <row r="838">
          <cell r="A838" t="str">
            <v>SCOM-SHLFOBR</v>
          </cell>
          <cell r="B838" t="str">
            <v>VAR_cap</v>
          </cell>
          <cell r="C838" t="str">
            <v>-</v>
          </cell>
          <cell r="D838">
            <v>1.9285738602854512</v>
          </cell>
          <cell r="E838">
            <v>1.8575079408170125</v>
          </cell>
          <cell r="F838">
            <v>1.8575017232625175</v>
          </cell>
          <cell r="G838">
            <v>1.8574993702730802</v>
          </cell>
          <cell r="H838">
            <v>0.96470355159341881</v>
          </cell>
          <cell r="I838">
            <v>0.77475511418207477</v>
          </cell>
          <cell r="J838">
            <v>0.41604581903412979</v>
          </cell>
        </row>
        <row r="839">
          <cell r="A839" t="str">
            <v>RHNM-SHPLTBR</v>
          </cell>
          <cell r="B839" t="str">
            <v>VAR_fout</v>
          </cell>
          <cell r="C839" t="str">
            <v>RHNM-SHPLT</v>
          </cell>
          <cell r="E839">
            <v>7.3539336176421347E-2</v>
          </cell>
          <cell r="F839">
            <v>1.9250443630456936E-2</v>
          </cell>
          <cell r="G839">
            <v>3.7500989849374611E-2</v>
          </cell>
          <cell r="H839">
            <v>5.2554183813083924E-2</v>
          </cell>
          <cell r="I839">
            <v>6.4710185733569417E-2</v>
          </cell>
          <cell r="J839">
            <v>9.3493659673652627E-2</v>
          </cell>
        </row>
        <row r="840">
          <cell r="A840" t="str">
            <v>RHNM-SHPLTBR</v>
          </cell>
          <cell r="B840" t="str">
            <v>VAR_fin</v>
          </cell>
          <cell r="C840" t="str">
            <v>RPLT</v>
          </cell>
          <cell r="E840">
            <v>8.1710373529357019E-2</v>
          </cell>
          <cell r="F840">
            <v>2.5909990245360517E-2</v>
          </cell>
          <cell r="G840">
            <v>5.0271590093896895E-2</v>
          </cell>
          <cell r="H840">
            <v>7.0241334885060541E-2</v>
          </cell>
          <cell r="I840">
            <v>8.6302596873482212E-2</v>
          </cell>
          <cell r="J840">
            <v>0.12469050319625331</v>
          </cell>
        </row>
        <row r="841">
          <cell r="A841" t="str">
            <v>RHNM-SHPLTBR</v>
          </cell>
          <cell r="B841" t="str">
            <v>VAR_fin</v>
          </cell>
          <cell r="C841" t="str">
            <v>RHNMPLTBRC</v>
          </cell>
          <cell r="E841">
            <v>7.3539336176421347E-2</v>
          </cell>
          <cell r="F841">
            <v>1.9250443630456936E-2</v>
          </cell>
          <cell r="G841">
            <v>3.7500989849374611E-2</v>
          </cell>
          <cell r="H841">
            <v>5.2554183813083924E-2</v>
          </cell>
          <cell r="I841">
            <v>6.4710185733569417E-2</v>
          </cell>
          <cell r="J841">
            <v>9.3493659673652627E-2</v>
          </cell>
        </row>
        <row r="842">
          <cell r="A842" t="str">
            <v>RHNM-SHPLTBR</v>
          </cell>
          <cell r="B842" t="str">
            <v>VAR_ncap</v>
          </cell>
          <cell r="C842" t="str">
            <v>-</v>
          </cell>
          <cell r="E842">
            <v>5.7530955473680404E-3</v>
          </cell>
          <cell r="F842">
            <v>3.0620029683270802E-7</v>
          </cell>
          <cell r="G842">
            <v>1.2532342909346299E-6</v>
          </cell>
          <cell r="H842">
            <v>1.1522451623411801E-3</v>
          </cell>
          <cell r="I842">
            <v>3.8816981413002899E-3</v>
          </cell>
          <cell r="J842">
            <v>3.9592157311271097E-3</v>
          </cell>
        </row>
        <row r="843">
          <cell r="A843" t="str">
            <v>RHNM-SHPLTBR</v>
          </cell>
          <cell r="B843" t="str">
            <v>VAR_cap</v>
          </cell>
          <cell r="C843" t="str">
            <v>-</v>
          </cell>
          <cell r="E843">
            <v>5.7530955473680404E-3</v>
          </cell>
          <cell r="F843">
            <v>5.7530826869817255E-3</v>
          </cell>
          <cell r="G843">
            <v>5.7540537617907705E-3</v>
          </cell>
          <cell r="H843">
            <v>4.1009325925881147E-3</v>
          </cell>
          <cell r="I843">
            <v>5.0347519838971023E-3</v>
          </cell>
          <cell r="J843">
            <v>7.2636356071495416E-3</v>
          </cell>
        </row>
        <row r="844">
          <cell r="A844" t="str">
            <v>D-RHES_NKEV_GAS_ELC_CHP</v>
          </cell>
          <cell r="B844" t="str">
            <v>VAR_fout</v>
          </cell>
          <cell r="C844" t="str">
            <v>RHES_ELC</v>
          </cell>
          <cell r="D844">
            <v>1.2337575856602214E-2</v>
          </cell>
          <cell r="E844">
            <v>3.2861823851992758E-4</v>
          </cell>
          <cell r="F844">
            <v>1.2833397611727014E-3</v>
          </cell>
        </row>
        <row r="845">
          <cell r="A845" t="str">
            <v>D-RHES_NKEV_GAS_ELC_CHP</v>
          </cell>
          <cell r="B845" t="str">
            <v>VAR_fout</v>
          </cell>
          <cell r="C845" t="str">
            <v>ELC5</v>
          </cell>
          <cell r="D845">
            <v>8.0706042529353342E-4</v>
          </cell>
          <cell r="E845">
            <v>1.469525306628522E-4</v>
          </cell>
          <cell r="F845">
            <v>3.0993284580036655E-4</v>
          </cell>
        </row>
        <row r="846">
          <cell r="A846" t="str">
            <v>D-RHES_NKEV_GAS_ELC_CHP</v>
          </cell>
          <cell r="B846" t="str">
            <v>VAR_fin</v>
          </cell>
          <cell r="C846" t="str">
            <v>RHES_NKEV_GAS_ELC_CHP</v>
          </cell>
          <cell r="D846">
            <v>1.3144636281895751E-2</v>
          </cell>
          <cell r="E846">
            <v>4.7557076918277956E-4</v>
          </cell>
          <cell r="F846">
            <v>1.5902880960848922E-3</v>
          </cell>
        </row>
        <row r="847">
          <cell r="A847" t="str">
            <v>SCOM-SHSTG-SOL</v>
          </cell>
          <cell r="B847" t="str">
            <v>VAR_fout</v>
          </cell>
          <cell r="C847" t="str">
            <v>SCOM-SHASOL</v>
          </cell>
          <cell r="D847">
            <v>1.7546545553780646E-5</v>
          </cell>
          <cell r="E847">
            <v>1.795206433332022E-5</v>
          </cell>
          <cell r="F847">
            <v>1.8328106838913914E-5</v>
          </cell>
          <cell r="G847">
            <v>9.0742111421332013E-6</v>
          </cell>
          <cell r="H847">
            <v>7.8143558703205015E-6</v>
          </cell>
          <cell r="I847">
            <v>8.1194388841339165E-6</v>
          </cell>
          <cell r="J847">
            <v>4.625170748538671E-6</v>
          </cell>
        </row>
        <row r="848">
          <cell r="A848" t="str">
            <v>SCOM-SHSTG-SOL</v>
          </cell>
          <cell r="B848" t="str">
            <v>VAR_fin</v>
          </cell>
          <cell r="C848" t="str">
            <v>SCOM-SHASOL</v>
          </cell>
          <cell r="D848">
            <v>1.6189098508192763E-5</v>
          </cell>
          <cell r="E848">
            <v>1.698316330644772E-5</v>
          </cell>
          <cell r="F848">
            <v>1.740269126666336E-5</v>
          </cell>
          <cell r="G848">
            <v>6.8386383022816675E-6</v>
          </cell>
          <cell r="H848">
            <v>6.1594722571664722E-6</v>
          </cell>
          <cell r="I848">
            <v>5.9480450641404623E-6</v>
          </cell>
        </row>
        <row r="849">
          <cell r="A849" t="str">
            <v>SCOM-SHSTG-SOL</v>
          </cell>
          <cell r="B849" t="str">
            <v>VAR_ncap</v>
          </cell>
          <cell r="C849" t="str">
            <v>-</v>
          </cell>
          <cell r="D849">
            <v>3.5922865130685001E-3</v>
          </cell>
          <cell r="E849">
            <v>1.9895901851838201E-2</v>
          </cell>
          <cell r="F849">
            <v>7.1541380668105596E-8</v>
          </cell>
          <cell r="G849">
            <v>1.12477198261519E-7</v>
          </cell>
          <cell r="H849">
            <v>1.21540457686924E-2</v>
          </cell>
          <cell r="I849">
            <v>1.29521503728601E-2</v>
          </cell>
          <cell r="J849">
            <v>1.5504668424144901E-2</v>
          </cell>
        </row>
        <row r="850">
          <cell r="A850" t="str">
            <v>SCOM-SHSTG-SOL</v>
          </cell>
          <cell r="B850" t="str">
            <v>VAR_cap</v>
          </cell>
          <cell r="C850" t="str">
            <v>-</v>
          </cell>
          <cell r="D850">
            <v>3.5922865130685001E-3</v>
          </cell>
          <cell r="E850">
            <v>2.3488188364906699E-2</v>
          </cell>
          <cell r="F850">
            <v>2.34882599062874E-2</v>
          </cell>
          <cell r="G850">
            <v>2.3488372383485601E-2</v>
          </cell>
          <cell r="H850">
            <v>2.32793756056867E-2</v>
          </cell>
          <cell r="I850">
            <v>2.5106285633485999E-2</v>
          </cell>
          <cell r="J850">
            <v>3.0045574508348698E-2</v>
          </cell>
        </row>
        <row r="851">
          <cell r="A851" t="str">
            <v>RHNM-SHELCBRA</v>
          </cell>
          <cell r="B851" t="str">
            <v>VAR_fout</v>
          </cell>
          <cell r="C851" t="str">
            <v>RHNM-SHELCB</v>
          </cell>
          <cell r="E851">
            <v>0.15438800155839053</v>
          </cell>
          <cell r="F851">
            <v>1.3524250193115272E-3</v>
          </cell>
          <cell r="G851">
            <v>3.8211089879762522E-3</v>
          </cell>
          <cell r="H851">
            <v>5.1237427641558763E-3</v>
          </cell>
          <cell r="I851">
            <v>5.9071507794706251E-3</v>
          </cell>
          <cell r="J851">
            <v>7.475764307444348E-3</v>
          </cell>
        </row>
        <row r="852">
          <cell r="A852" t="str">
            <v>RHNM-SHELCBRA</v>
          </cell>
          <cell r="B852" t="str">
            <v>VAR_fin</v>
          </cell>
          <cell r="C852" t="str">
            <v>RHNM-SHAELCB</v>
          </cell>
          <cell r="E852">
            <v>0.15438800155839053</v>
          </cell>
          <cell r="F852">
            <v>1.3524250193115272E-3</v>
          </cell>
          <cell r="G852">
            <v>3.8211089879762522E-3</v>
          </cell>
          <cell r="H852">
            <v>5.1237427641558763E-3</v>
          </cell>
          <cell r="I852">
            <v>5.9071507794706251E-3</v>
          </cell>
          <cell r="J852">
            <v>7.475764307444348E-3</v>
          </cell>
        </row>
        <row r="853">
          <cell r="A853" t="str">
            <v>RHNM-SHELCBRA</v>
          </cell>
          <cell r="B853" t="str">
            <v>VAR_ncap</v>
          </cell>
          <cell r="C853" t="str">
            <v>-</v>
          </cell>
          <cell r="E853">
            <v>1.2012356929741499E-2</v>
          </cell>
          <cell r="H853">
            <v>1.45469159047644E-3</v>
          </cell>
        </row>
        <row r="854">
          <cell r="A854" t="str">
            <v>RHNM-SHELCBRA</v>
          </cell>
          <cell r="B854" t="str">
            <v>VAR_cap</v>
          </cell>
          <cell r="C854" t="str">
            <v>-</v>
          </cell>
          <cell r="E854">
            <v>1.2012356929741499E-2</v>
          </cell>
          <cell r="F854">
            <v>5.197394286755759E-3</v>
          </cell>
          <cell r="G854">
            <v>4.5382962192405188E-3</v>
          </cell>
          <cell r="H854">
            <v>3.75195578879833E-3</v>
          </cell>
          <cell r="I854">
            <v>1.4431121268661759E-3</v>
          </cell>
          <cell r="J854">
            <v>6.103576437100596E-4</v>
          </cell>
        </row>
        <row r="855">
          <cell r="A855" t="str">
            <v>RHNM-SHSTG-SOL</v>
          </cell>
          <cell r="B855" t="str">
            <v>VAR_fout</v>
          </cell>
          <cell r="C855" t="str">
            <v>AUX_RHNM-SHSTG-SOL_OUT</v>
          </cell>
          <cell r="E855">
            <v>1.0899416638171093E-4</v>
          </cell>
          <cell r="F855">
            <v>7.1103203172046629E-6</v>
          </cell>
          <cell r="G855">
            <v>1.0358672284697983E-5</v>
          </cell>
          <cell r="H855">
            <v>1.3214693457661225E-5</v>
          </cell>
          <cell r="I855">
            <v>1.6880139509987016E-5</v>
          </cell>
          <cell r="J855">
            <v>3.2840622789490196E-5</v>
          </cell>
        </row>
        <row r="856">
          <cell r="A856" t="str">
            <v>RHNM-SHSTG-SOL</v>
          </cell>
          <cell r="B856" t="str">
            <v>VAR_fout</v>
          </cell>
          <cell r="C856" t="str">
            <v>RHNM-SHASOL</v>
          </cell>
          <cell r="E856">
            <v>1.0888528110061034E-4</v>
          </cell>
          <cell r="F856">
            <v>7.1032171001045575E-6</v>
          </cell>
          <cell r="G856">
            <v>1.0348323960737242E-5</v>
          </cell>
          <cell r="H856">
            <v>1.3201491965695537E-5</v>
          </cell>
          <cell r="I856">
            <v>1.6863276233753263E-5</v>
          </cell>
          <cell r="J856">
            <v>3.2807814974515661E-5</v>
          </cell>
        </row>
        <row r="857">
          <cell r="A857" t="str">
            <v>RHNM-SHSTG-SOL</v>
          </cell>
          <cell r="B857" t="str">
            <v>VAR_fin</v>
          </cell>
          <cell r="C857" t="str">
            <v>RHNM-SHASOL</v>
          </cell>
          <cell r="E857">
            <v>1.0009957157329692E-4</v>
          </cell>
          <cell r="F857">
            <v>4.7378722552569176E-6</v>
          </cell>
          <cell r="G857">
            <v>9.8360018196669218E-6</v>
          </cell>
          <cell r="H857">
            <v>1.5080968719796594E-5</v>
          </cell>
          <cell r="I857">
            <v>1.8153837713124445E-5</v>
          </cell>
          <cell r="J857">
            <v>3.5641894420950803E-5</v>
          </cell>
        </row>
        <row r="858">
          <cell r="A858" t="str">
            <v>RHNM-SHSTG-SOL</v>
          </cell>
          <cell r="B858" t="str">
            <v>VAR_ncap</v>
          </cell>
          <cell r="C858" t="str">
            <v>-</v>
          </cell>
          <cell r="D858">
            <v>2.2654814036509401E-5</v>
          </cell>
          <cell r="E858">
            <v>4.3634414283934702E-7</v>
          </cell>
          <cell r="F858">
            <v>4.5025331521104097E-5</v>
          </cell>
          <cell r="G858">
            <v>7.6448753101932699E-7</v>
          </cell>
          <cell r="H858">
            <v>1.0967069058543099E-7</v>
          </cell>
          <cell r="I858">
            <v>5.0426381996370001E-6</v>
          </cell>
          <cell r="J858">
            <v>6.55037335011747E-6</v>
          </cell>
        </row>
        <row r="859">
          <cell r="A859" t="str">
            <v>RHNM-SHSTG-SOL</v>
          </cell>
          <cell r="B859" t="str">
            <v>VAR_cap</v>
          </cell>
          <cell r="C859" t="str">
            <v>-</v>
          </cell>
          <cell r="D859">
            <v>2.2654814036509401E-5</v>
          </cell>
          <cell r="E859">
            <v>2.30911581793488E-5</v>
          </cell>
          <cell r="F859">
            <v>6.81164897004529E-5</v>
          </cell>
          <cell r="G859">
            <v>6.8880977231472194E-5</v>
          </cell>
          <cell r="H859">
            <v>5.1998223179513403E-5</v>
          </cell>
          <cell r="I859">
            <v>1.3649416722296399E-5</v>
          </cell>
          <cell r="J859">
            <v>1.0256375055897201E-5</v>
          </cell>
        </row>
        <row r="860">
          <cell r="A860" t="str">
            <v>RHNS-SHELCHP</v>
          </cell>
          <cell r="B860" t="str">
            <v>VAR_fout</v>
          </cell>
          <cell r="C860" t="str">
            <v>RHNS-SHAELCH</v>
          </cell>
          <cell r="E860">
            <v>0.13898233356066825</v>
          </cell>
          <cell r="F860">
            <v>1.1007896440305163</v>
          </cell>
          <cell r="G860">
            <v>2.0044440852261904</v>
          </cell>
          <cell r="H860">
            <v>2.5389457978863006</v>
          </cell>
          <cell r="I860">
            <v>2.977232778134888</v>
          </cell>
          <cell r="J860">
            <v>3.5897980603558977</v>
          </cell>
        </row>
        <row r="861">
          <cell r="A861" t="str">
            <v>RHNS-SHELCHP</v>
          </cell>
          <cell r="B861" t="str">
            <v>VAR_fin</v>
          </cell>
          <cell r="C861" t="str">
            <v>RHNS_ELC</v>
          </cell>
          <cell r="E861">
            <v>4.2719979578074323E-2</v>
          </cell>
          <cell r="F861">
            <v>0.32352534014927942</v>
          </cell>
          <cell r="G861">
            <v>0.5723412175134529</v>
          </cell>
          <cell r="H861">
            <v>0.71007296657456054</v>
          </cell>
          <cell r="I861">
            <v>0.81761043446623194</v>
          </cell>
          <cell r="J861">
            <v>0.94487012775477031</v>
          </cell>
        </row>
        <row r="862">
          <cell r="A862" t="str">
            <v>RHNS-SHELCHP</v>
          </cell>
          <cell r="B862" t="str">
            <v>VAR_fin</v>
          </cell>
          <cell r="C862" t="str">
            <v>RHNSELCHPC</v>
          </cell>
          <cell r="E862">
            <v>0.13898233356066825</v>
          </cell>
          <cell r="F862">
            <v>1.1007896440305163</v>
          </cell>
          <cell r="G862">
            <v>2.0044440852261904</v>
          </cell>
          <cell r="H862">
            <v>2.5389457978863006</v>
          </cell>
          <cell r="I862">
            <v>2.977232778134888</v>
          </cell>
          <cell r="J862">
            <v>3.5897980603558977</v>
          </cell>
        </row>
        <row r="863">
          <cell r="A863" t="str">
            <v>RHNS-SHELCHP</v>
          </cell>
          <cell r="B863" t="str">
            <v>VAR_ncap</v>
          </cell>
          <cell r="C863" t="str">
            <v>-</v>
          </cell>
          <cell r="E863">
            <v>1.0159694961589199E-2</v>
          </cell>
          <cell r="F863">
            <v>7.0125127063314405E-2</v>
          </cell>
          <cell r="G863">
            <v>6.6009334181549403E-2</v>
          </cell>
          <cell r="H863">
            <v>4.3876246602096498E-2</v>
          </cell>
          <cell r="I863">
            <v>0.115607562570131</v>
          </cell>
          <cell r="J863">
            <v>0.159381825423864</v>
          </cell>
        </row>
        <row r="864">
          <cell r="A864" t="str">
            <v>RHNS-SHELCHP</v>
          </cell>
          <cell r="B864" t="str">
            <v>VAR_cap</v>
          </cell>
          <cell r="C864" t="str">
            <v>-</v>
          </cell>
          <cell r="E864">
            <v>1.0159694961589199E-2</v>
          </cell>
          <cell r="F864">
            <v>8.028478847995256E-2</v>
          </cell>
          <cell r="G864">
            <v>0.14629400698435344</v>
          </cell>
          <cell r="H864">
            <v>0.18521581473244975</v>
          </cell>
          <cell r="I864">
            <v>0.21698790236342824</v>
          </cell>
          <cell r="J864">
            <v>0.26184149539359186</v>
          </cell>
        </row>
        <row r="865">
          <cell r="A865" t="str">
            <v>SCOM-SHBIOBR</v>
          </cell>
          <cell r="B865" t="str">
            <v>VAR_fout</v>
          </cell>
          <cell r="C865" t="str">
            <v>SCOM-SHBIO</v>
          </cell>
          <cell r="D865">
            <v>1.2230676365458992</v>
          </cell>
          <cell r="E865">
            <v>1.340768430658166</v>
          </cell>
        </row>
        <row r="866">
          <cell r="A866" t="str">
            <v>SCOM-SHBIOBR</v>
          </cell>
          <cell r="B866" t="str">
            <v>VAR_fin</v>
          </cell>
          <cell r="C866" t="str">
            <v>SBIO</v>
          </cell>
          <cell r="D866">
            <v>1.4022788770303827</v>
          </cell>
          <cell r="E866">
            <v>1.5372259007775346</v>
          </cell>
        </row>
        <row r="867">
          <cell r="A867" t="str">
            <v>SCOM-SHBIOBR</v>
          </cell>
          <cell r="B867" t="str">
            <v>VAR_ncap</v>
          </cell>
          <cell r="C867" t="str">
            <v>-</v>
          </cell>
          <cell r="D867">
            <v>1.4629940019703199E-7</v>
          </cell>
          <cell r="E867">
            <v>4.47457524451313E-7</v>
          </cell>
          <cell r="F867">
            <v>1.25636417798066E-7</v>
          </cell>
          <cell r="G867">
            <v>1.63335395245594E-7</v>
          </cell>
          <cell r="H867">
            <v>8.8321066498006795E-6</v>
          </cell>
          <cell r="I867">
            <v>1.14032706323539E-5</v>
          </cell>
          <cell r="J867">
            <v>5.5952901294631099E-6</v>
          </cell>
        </row>
        <row r="868">
          <cell r="A868" t="str">
            <v>SCOM-SHBIOBR</v>
          </cell>
          <cell r="B868" t="str">
            <v>VAR_cap</v>
          </cell>
          <cell r="C868" t="str">
            <v>-</v>
          </cell>
          <cell r="D868">
            <v>0.10534107176807619</v>
          </cell>
          <cell r="E868">
            <v>0.10534055109086389</v>
          </cell>
          <cell r="F868">
            <v>0.10532836402213222</v>
          </cell>
          <cell r="G868">
            <v>0.10532662980988396</v>
          </cell>
          <cell r="H868">
            <v>2.7323339209878495E-2</v>
          </cell>
          <cell r="I868">
            <v>1.986048475557259E-5</v>
          </cell>
          <cell r="J868">
            <v>1.7344973685094454E-5</v>
          </cell>
        </row>
        <row r="869">
          <cell r="A869" t="str">
            <v>RHES-SHDEM</v>
          </cell>
          <cell r="B869" t="str">
            <v>VAR_fout</v>
          </cell>
          <cell r="C869" t="str">
            <v>RHES-SHD</v>
          </cell>
          <cell r="D869">
            <v>62.024837503894084</v>
          </cell>
          <cell r="E869">
            <v>67.815394581973521</v>
          </cell>
          <cell r="F869">
            <v>56.614814720188583</v>
          </cell>
          <cell r="G869">
            <v>55.589576534454146</v>
          </cell>
          <cell r="H869">
            <v>54.717816295664001</v>
          </cell>
          <cell r="I869">
            <v>54.03614053513342</v>
          </cell>
          <cell r="J869">
            <v>53.23833675371732</v>
          </cell>
        </row>
        <row r="870">
          <cell r="A870" t="str">
            <v>RHES-SHDEM</v>
          </cell>
          <cell r="B870" t="str">
            <v>VAR_fin</v>
          </cell>
          <cell r="C870" t="str">
            <v>RHES-SHPLT</v>
          </cell>
          <cell r="D870">
            <v>1.2934796248196789</v>
          </cell>
          <cell r="E870">
            <v>1.4868754896108132</v>
          </cell>
          <cell r="F870">
            <v>3.3407442081331652E-2</v>
          </cell>
          <cell r="G870">
            <v>5.9801576914791363E-2</v>
          </cell>
          <cell r="H870">
            <v>7.7888358840603522E-2</v>
          </cell>
          <cell r="I870">
            <v>9.1111466071750871E-2</v>
          </cell>
          <cell r="J870">
            <v>0.1165428298814704</v>
          </cell>
        </row>
        <row r="871">
          <cell r="A871" t="str">
            <v>RHES-SHDEM</v>
          </cell>
          <cell r="B871" t="str">
            <v>VAR_fin</v>
          </cell>
          <cell r="C871" t="str">
            <v>RHES-SHLTHC-NGA</v>
          </cell>
          <cell r="D871">
            <v>3.363895064533063E-2</v>
          </cell>
          <cell r="E871">
            <v>1.0818425852318844E-3</v>
          </cell>
        </row>
        <row r="872">
          <cell r="A872" t="str">
            <v>RHES-SHDEM</v>
          </cell>
          <cell r="B872" t="str">
            <v>VAR_fin</v>
          </cell>
          <cell r="C872" t="str">
            <v>RHES-SHSOL</v>
          </cell>
          <cell r="D872">
            <v>0.37388681141702002</v>
          </cell>
          <cell r="E872">
            <v>0.43545227781068313</v>
          </cell>
          <cell r="F872">
            <v>2.1586808291080534E-2</v>
          </cell>
          <cell r="G872">
            <v>2.4414010394913352E-2</v>
          </cell>
          <cell r="H872">
            <v>2.5728902116372718E-2</v>
          </cell>
          <cell r="I872">
            <v>2.6316167932248332E-2</v>
          </cell>
          <cell r="J872">
            <v>2.7394694115707035E-2</v>
          </cell>
        </row>
        <row r="873">
          <cell r="A873" t="str">
            <v>RHES-SHDEM</v>
          </cell>
          <cell r="B873" t="str">
            <v>VAR_fin</v>
          </cell>
          <cell r="C873" t="str">
            <v>RHES-SHLTHC-WOD</v>
          </cell>
          <cell r="D873">
            <v>1.1827424110614721E-3</v>
          </cell>
        </row>
        <row r="874">
          <cell r="A874" t="str">
            <v>RHES-SHDEM</v>
          </cell>
          <cell r="B874" t="str">
            <v>VAR_fin</v>
          </cell>
          <cell r="C874" t="str">
            <v>RHES-SHNGA</v>
          </cell>
          <cell r="D874">
            <v>17.566926300318009</v>
          </cell>
          <cell r="E874">
            <v>18.840179952179763</v>
          </cell>
          <cell r="F874">
            <v>10.778361242816265</v>
          </cell>
          <cell r="G874">
            <v>8.9344582992610935</v>
          </cell>
          <cell r="H874">
            <v>6.9396966279927552</v>
          </cell>
          <cell r="I874">
            <v>5.238558533439492</v>
          </cell>
          <cell r="J874">
            <v>2.4339030926986371</v>
          </cell>
        </row>
        <row r="875">
          <cell r="A875" t="str">
            <v>RHES-SHDEM</v>
          </cell>
          <cell r="B875" t="str">
            <v>VAR_fin</v>
          </cell>
          <cell r="C875" t="str">
            <v>RHES-SHNGAH</v>
          </cell>
          <cell r="D875">
            <v>7.7615889399427563E-4</v>
          </cell>
          <cell r="E875">
            <v>1.4367351424462288E-5</v>
          </cell>
          <cell r="F875">
            <v>2.016638510441326</v>
          </cell>
          <cell r="G875">
            <v>3.9280323283000138</v>
          </cell>
          <cell r="H875">
            <v>5.2203297359162004</v>
          </cell>
          <cell r="I875">
            <v>6.0782037643291327</v>
          </cell>
          <cell r="J875">
            <v>7.6288691305558434</v>
          </cell>
        </row>
        <row r="876">
          <cell r="A876" t="str">
            <v>RHES-SHDEM</v>
          </cell>
          <cell r="B876" t="str">
            <v>VAR_fin</v>
          </cell>
          <cell r="C876" t="str">
            <v>RHES-SHCOA</v>
          </cell>
          <cell r="D876">
            <v>7.454038700387372E-2</v>
          </cell>
          <cell r="E876">
            <v>7.1994522785010118E-2</v>
          </cell>
          <cell r="F876">
            <v>2.15488458729532E-2</v>
          </cell>
          <cell r="G876">
            <v>4.8513545833937764E-3</v>
          </cell>
          <cell r="H876">
            <v>1.8728384985969288E-4</v>
          </cell>
        </row>
        <row r="877">
          <cell r="A877" t="str">
            <v>RHES-SHDEM</v>
          </cell>
          <cell r="B877" t="str">
            <v>VAR_fin</v>
          </cell>
          <cell r="C877" t="str">
            <v>RHES-SHLFO</v>
          </cell>
          <cell r="D877">
            <v>21.675558861793188</v>
          </cell>
          <cell r="E877">
            <v>19.946191570679119</v>
          </cell>
          <cell r="F877">
            <v>14.636435047172556</v>
          </cell>
          <cell r="G877">
            <v>9.5255403808665644</v>
          </cell>
          <cell r="H877">
            <v>6.5348471172777067</v>
          </cell>
          <cell r="I877">
            <v>4.607758797605479</v>
          </cell>
          <cell r="J877">
            <v>1.2947550989841756</v>
          </cell>
        </row>
        <row r="878">
          <cell r="A878" t="str">
            <v>RHES-SHDEM</v>
          </cell>
          <cell r="B878" t="str">
            <v>VAR_fin</v>
          </cell>
          <cell r="C878" t="str">
            <v>RHES-SHCON</v>
          </cell>
          <cell r="D878">
            <v>3.8316189779523745E-2</v>
          </cell>
          <cell r="E878">
            <v>3.7311885796218061</v>
          </cell>
          <cell r="F878">
            <v>2.2568093081934717</v>
          </cell>
          <cell r="G878">
            <v>4.1007616613519664</v>
          </cell>
          <cell r="H878">
            <v>5.8904459217337841</v>
          </cell>
          <cell r="I878">
            <v>7.6005715448935334</v>
          </cell>
          <cell r="J878">
            <v>10.814677701884676</v>
          </cell>
        </row>
        <row r="879">
          <cell r="A879" t="str">
            <v>RHES-SHDEM</v>
          </cell>
          <cell r="B879" t="str">
            <v>VAR_fin</v>
          </cell>
          <cell r="C879" t="str">
            <v>RHES-SHWOD</v>
          </cell>
          <cell r="D879">
            <v>4.3839398038030577</v>
          </cell>
          <cell r="E879">
            <v>5.0342628693529976</v>
          </cell>
          <cell r="F879">
            <v>5.0868840413954315</v>
          </cell>
          <cell r="G879">
            <v>4.4611715791766704</v>
          </cell>
          <cell r="H879">
            <v>3.7206985322985608</v>
          </cell>
          <cell r="I879">
            <v>3.1087229050799623</v>
          </cell>
          <cell r="J879">
            <v>1.9779556485836365</v>
          </cell>
        </row>
        <row r="880">
          <cell r="A880" t="str">
            <v>RHES-SHDEM</v>
          </cell>
          <cell r="B880" t="str">
            <v>VAR_fin</v>
          </cell>
          <cell r="C880" t="str">
            <v>RHES-SHLTHD</v>
          </cell>
          <cell r="D880">
            <v>3.1506861490515883</v>
          </cell>
          <cell r="E880">
            <v>3.5037851010240244</v>
          </cell>
          <cell r="F880">
            <v>1.4255835923229003</v>
          </cell>
          <cell r="G880">
            <v>1.605046629973321</v>
          </cell>
          <cell r="H880">
            <v>1.6781837330208516</v>
          </cell>
          <cell r="I880">
            <v>1.7039570311980492</v>
          </cell>
          <cell r="J880">
            <v>1.7484789871662942</v>
          </cell>
        </row>
        <row r="881">
          <cell r="A881" t="str">
            <v>RHES-SHDEM</v>
          </cell>
          <cell r="B881" t="str">
            <v>VAR_fin</v>
          </cell>
          <cell r="C881" t="str">
            <v>RHES-SHELCB</v>
          </cell>
          <cell r="D881">
            <v>4.2767722833086523</v>
          </cell>
          <cell r="E881">
            <v>4.4886692802033048</v>
          </cell>
          <cell r="F881">
            <v>0.78672561830228727</v>
          </cell>
          <cell r="G881">
            <v>0.19186203827106055</v>
          </cell>
          <cell r="H881">
            <v>1.4322122908012059E-2</v>
          </cell>
          <cell r="I881">
            <v>4.0338507917540749E-3</v>
          </cell>
          <cell r="J881">
            <v>1.9903955919817343E-3</v>
          </cell>
        </row>
        <row r="882">
          <cell r="A882" t="str">
            <v>RHES-SHDEM</v>
          </cell>
          <cell r="B882" t="str">
            <v>VAR_fin</v>
          </cell>
          <cell r="C882" t="str">
            <v>RHES-SHELCH</v>
          </cell>
          <cell r="D882">
            <v>9.1543229112829589</v>
          </cell>
          <cell r="E882">
            <v>10.275897166877547</v>
          </cell>
          <cell r="F882">
            <v>19.551067791091608</v>
          </cell>
          <cell r="G882">
            <v>22.753816126941658</v>
          </cell>
          <cell r="H882">
            <v>24.615686555200405</v>
          </cell>
          <cell r="I882">
            <v>25.577079121423356</v>
          </cell>
          <cell r="J882">
            <v>27.193912056810177</v>
          </cell>
        </row>
        <row r="883">
          <cell r="A883" t="str">
            <v>RHES-SHDEM</v>
          </cell>
          <cell r="B883" t="str">
            <v>VAR_fin</v>
          </cell>
          <cell r="C883" t="str">
            <v>RHES-SHNST</v>
          </cell>
          <cell r="D883">
            <v>9.6630973667236313E-4</v>
          </cell>
          <cell r="E883">
            <v>8.0628749103948175E-6</v>
          </cell>
        </row>
        <row r="884">
          <cell r="A884" t="str">
            <v>D-RHEM_LTH_CHPNGA</v>
          </cell>
          <cell r="B884" t="str">
            <v>VAR_fout</v>
          </cell>
          <cell r="C884" t="str">
            <v>RHSA_LTH</v>
          </cell>
          <cell r="D884">
            <v>2.4605600548619081E-3</v>
          </cell>
          <cell r="E884">
            <v>1.5116313435060045E-5</v>
          </cell>
          <cell r="F884">
            <v>1.9199190594959747E-3</v>
          </cell>
          <cell r="G884">
            <v>6.4329217154726825E-6</v>
          </cell>
          <cell r="H884">
            <v>6.8506204940180258E-6</v>
          </cell>
          <cell r="I884">
            <v>7.3572231949856674E-6</v>
          </cell>
          <cell r="J884">
            <v>7.0865138492393838E-6</v>
          </cell>
        </row>
        <row r="885">
          <cell r="A885" t="str">
            <v>D-RHEM_LTH_CHPNGA</v>
          </cell>
          <cell r="B885" t="str">
            <v>VAR_fout</v>
          </cell>
          <cell r="C885" t="str">
            <v>RHEM_LTH_CHPNGA_ON</v>
          </cell>
          <cell r="D885">
            <v>5.162430035773273E-2</v>
          </cell>
          <cell r="E885">
            <v>5.9581556275228051E-4</v>
          </cell>
          <cell r="F885">
            <v>2.2232610907063589E-4</v>
          </cell>
          <cell r="G885">
            <v>5.9531382890588918E-6</v>
          </cell>
          <cell r="H885">
            <v>4.1467150661758202E-6</v>
          </cell>
          <cell r="I885">
            <v>3.3371412733254384E-6</v>
          </cell>
          <cell r="J885">
            <v>7.7578612195776069E-7</v>
          </cell>
        </row>
        <row r="886">
          <cell r="A886" t="str">
            <v>D-RHEM_LTH_CHPNGA</v>
          </cell>
          <cell r="B886" t="str">
            <v>VAR_fout</v>
          </cell>
          <cell r="C886" t="str">
            <v>LTH</v>
          </cell>
          <cell r="F886">
            <v>2.2456660153138372E-7</v>
          </cell>
        </row>
        <row r="887">
          <cell r="A887" t="str">
            <v>D-RHEM_LTH_CHPNGA</v>
          </cell>
          <cell r="B887" t="str">
            <v>VAR_fin</v>
          </cell>
          <cell r="C887" t="str">
            <v>RHEM_LTH_CHPNGA</v>
          </cell>
          <cell r="D887">
            <v>5.4084860412594644E-2</v>
          </cell>
          <cell r="E887">
            <v>6.1104151062608763E-4</v>
          </cell>
          <cell r="F887">
            <v>2.1429417981907134E-3</v>
          </cell>
          <cell r="G887">
            <v>1.3156523771883418E-5</v>
          </cell>
          <cell r="H887">
            <v>1.199153821859808E-5</v>
          </cell>
          <cell r="I887">
            <v>1.1623347159279404E-5</v>
          </cell>
          <cell r="J887">
            <v>8.8835621146514085E-6</v>
          </cell>
        </row>
        <row r="888">
          <cell r="A888" t="str">
            <v>RHEM-SHLTHCHPNGA</v>
          </cell>
          <cell r="B888" t="str">
            <v>VAR_fout</v>
          </cell>
          <cell r="C888" t="str">
            <v>RHEM-SHLTHC-NGA</v>
          </cell>
          <cell r="D888">
            <v>4.8319394721630778E-2</v>
          </cell>
          <cell r="E888">
            <v>5.8612187349393072E-4</v>
          </cell>
        </row>
        <row r="889">
          <cell r="A889" t="str">
            <v>RHEM-SHLTHCHPNGA</v>
          </cell>
          <cell r="B889" t="str">
            <v>VAR_fin</v>
          </cell>
          <cell r="C889" t="str">
            <v>RHEM_LTH_CHPNGA_ON</v>
          </cell>
          <cell r="D889">
            <v>4.8807469415788701E-2</v>
          </cell>
          <cell r="E889">
            <v>5.9204229645851549E-4</v>
          </cell>
        </row>
        <row r="890">
          <cell r="A890" t="str">
            <v>RHEM-SHLTHCHPNGA</v>
          </cell>
          <cell r="B890" t="str">
            <v>VAR_fin</v>
          </cell>
          <cell r="C890" t="str">
            <v>RHEMLTHCHPC</v>
          </cell>
          <cell r="D890">
            <v>4.8319394721630778E-2</v>
          </cell>
          <cell r="E890">
            <v>5.8612187349393072E-4</v>
          </cell>
        </row>
        <row r="891">
          <cell r="A891" t="str">
            <v>RHEM-SHLTHCHPNGA</v>
          </cell>
          <cell r="B891" t="str">
            <v>VAR_ncap</v>
          </cell>
          <cell r="C891" t="str">
            <v>-</v>
          </cell>
          <cell r="D891">
            <v>3.0331648049452501E-6</v>
          </cell>
          <cell r="E891">
            <v>3.9135486235699799E-5</v>
          </cell>
          <cell r="F891">
            <v>1.07947646333322E-4</v>
          </cell>
          <cell r="G891">
            <v>3.2344102466929101E-5</v>
          </cell>
          <cell r="H891">
            <v>4.0635990034216798E-5</v>
          </cell>
          <cell r="I891">
            <v>1.1174779938034201E-5</v>
          </cell>
          <cell r="J891">
            <v>4.1281353488620799E-6</v>
          </cell>
        </row>
        <row r="892">
          <cell r="A892" t="str">
            <v>RHEM-SHLTHCHPNGA</v>
          </cell>
          <cell r="B892" t="str">
            <v>VAR_cap</v>
          </cell>
          <cell r="C892" t="str">
            <v>-</v>
          </cell>
          <cell r="D892">
            <v>6.801234163353675E-3</v>
          </cell>
          <cell r="E892">
            <v>6.9112152074635516E-5</v>
          </cell>
          <cell r="F892">
            <v>1.4888557872759674E-4</v>
          </cell>
          <cell r="G892">
            <v>7.3155786060306351E-5</v>
          </cell>
          <cell r="H892">
            <v>6.96885885195181E-5</v>
          </cell>
          <cell r="I892">
            <v>2.5540958424105002E-5</v>
          </cell>
          <cell r="J892">
            <v>8.0703911334892028E-6</v>
          </cell>
        </row>
        <row r="893">
          <cell r="A893" t="str">
            <v>D-RHES_SOLELC</v>
          </cell>
          <cell r="B893" t="str">
            <v>VAR_fout</v>
          </cell>
          <cell r="C893" t="str">
            <v>RHES_ELC</v>
          </cell>
          <cell r="D893">
            <v>2.1341591524964896</v>
          </cell>
          <cell r="E893">
            <v>3.3903795303684396</v>
          </cell>
          <cell r="F893">
            <v>4.0400947425509779</v>
          </cell>
          <cell r="G893">
            <v>4.3438977797752134</v>
          </cell>
          <cell r="H893">
            <v>4.6106784850711824</v>
          </cell>
          <cell r="I893">
            <v>4.8941521657150062</v>
          </cell>
          <cell r="J893">
            <v>5.5143231040469312</v>
          </cell>
        </row>
        <row r="894">
          <cell r="A894" t="str">
            <v>D-RHES_SOLELC</v>
          </cell>
          <cell r="B894" t="str">
            <v>VAR_fout</v>
          </cell>
          <cell r="C894" t="str">
            <v>ELC5</v>
          </cell>
          <cell r="D894">
            <v>7.7993623817251639E-4</v>
          </cell>
          <cell r="E894">
            <v>2.8605826533935623E-4</v>
          </cell>
          <cell r="F894">
            <v>3.0791219262644613E-4</v>
          </cell>
          <cell r="G894">
            <v>1.5147522297499563E-4</v>
          </cell>
          <cell r="H894">
            <v>3.008518199130271E-4</v>
          </cell>
          <cell r="I894">
            <v>2.2836114004656718E-4</v>
          </cell>
          <cell r="J894">
            <v>1.341845178317889E-4</v>
          </cell>
        </row>
        <row r="895">
          <cell r="A895" t="str">
            <v>D-RHES_SOLELC</v>
          </cell>
          <cell r="B895" t="str">
            <v>VAR_fin</v>
          </cell>
          <cell r="C895" t="str">
            <v>RHES_SOL_ELC</v>
          </cell>
          <cell r="D895">
            <v>2.1349390887346629</v>
          </cell>
          <cell r="E895">
            <v>3.3906651816362334</v>
          </cell>
          <cell r="F895">
            <v>4.0404026547436036</v>
          </cell>
          <cell r="G895">
            <v>4.3440492549981897</v>
          </cell>
          <cell r="H895">
            <v>4.6109793368910967</v>
          </cell>
          <cell r="I895">
            <v>4.8943805268550538</v>
          </cell>
          <cell r="J895">
            <v>5.514457288564758</v>
          </cell>
        </row>
        <row r="896">
          <cell r="A896" t="str">
            <v>D-DH2</v>
          </cell>
          <cell r="B896" t="str">
            <v>VAR_fout</v>
          </cell>
          <cell r="C896" t="str">
            <v>H2</v>
          </cell>
          <cell r="G896">
            <v>6.136138856852121E-6</v>
          </cell>
          <cell r="H896">
            <v>2.1334543884081716E-5</v>
          </cell>
          <cell r="I896">
            <v>1.0164699767646711E-4</v>
          </cell>
          <cell r="J896">
            <v>1.0759384107244167E-4</v>
          </cell>
        </row>
        <row r="897">
          <cell r="A897" t="str">
            <v>D-DH2</v>
          </cell>
          <cell r="B897" t="str">
            <v>VAR_fin</v>
          </cell>
          <cell r="C897" t="str">
            <v>H2_E</v>
          </cell>
          <cell r="G897">
            <v>6.1981200574263848E-6</v>
          </cell>
          <cell r="H897">
            <v>2.1550044327355279E-5</v>
          </cell>
          <cell r="I897">
            <v>1.0267373502673449E-4</v>
          </cell>
          <cell r="J897">
            <v>1.0868064754792085E-4</v>
          </cell>
        </row>
        <row r="898">
          <cell r="A898" t="str">
            <v>D-DH2</v>
          </cell>
          <cell r="B898" t="str">
            <v>VAR_ncap</v>
          </cell>
          <cell r="C898" t="str">
            <v>-</v>
          </cell>
          <cell r="G898">
            <v>1.10415325401401E-5</v>
          </cell>
          <cell r="H898">
            <v>1.27046034998443E-5</v>
          </cell>
          <cell r="I898">
            <v>4.1478081894649297E-5</v>
          </cell>
          <cell r="J898">
            <v>1.62473920774059E-6</v>
          </cell>
        </row>
        <row r="899">
          <cell r="A899" t="str">
            <v>D-DH2</v>
          </cell>
          <cell r="B899" t="str">
            <v>VAR_cap</v>
          </cell>
          <cell r="C899" t="str">
            <v>-</v>
          </cell>
          <cell r="G899">
            <v>1.10415325401401E-5</v>
          </cell>
          <cell r="H899">
            <v>2.3746136039984398E-5</v>
          </cell>
          <cell r="I899">
            <v>6.5224217934633702E-5</v>
          </cell>
          <cell r="J899">
            <v>6.6848957142374304E-5</v>
          </cell>
        </row>
        <row r="900">
          <cell r="A900" t="str">
            <v>ITOT-SWHHFOBR</v>
          </cell>
          <cell r="B900" t="str">
            <v>VAR_fout</v>
          </cell>
          <cell r="C900" t="str">
            <v>ITOT-SWH</v>
          </cell>
          <cell r="D900">
            <v>1.8458241606832879</v>
          </cell>
          <cell r="E900">
            <v>1.845821378515532</v>
          </cell>
          <cell r="F900">
            <v>7.9797607650533195E-4</v>
          </cell>
          <cell r="G900">
            <v>1.4755144968456413E-4</v>
          </cell>
          <cell r="H900">
            <v>2.7695954650421012E-4</v>
          </cell>
          <cell r="I900">
            <v>1.7103833044417865E-4</v>
          </cell>
        </row>
        <row r="901">
          <cell r="A901" t="str">
            <v>ITOT-SWHHFOBR</v>
          </cell>
          <cell r="B901" t="str">
            <v>VAR_fout</v>
          </cell>
          <cell r="C901" t="str">
            <v>CO2_I</v>
          </cell>
          <cell r="D901">
            <v>210.21033148103299</v>
          </cell>
          <cell r="E901">
            <v>209.304537435676</v>
          </cell>
          <cell r="F901">
            <v>8.9904574874674903E-2</v>
          </cell>
          <cell r="G901">
            <v>1.6448008144352402E-2</v>
          </cell>
          <cell r="H901">
            <v>3.0550108451355199E-2</v>
          </cell>
          <cell r="I901">
            <v>1.8670850886693999E-2</v>
          </cell>
        </row>
        <row r="902">
          <cell r="A902" t="str">
            <v>ITOT-SWHHFOBR</v>
          </cell>
          <cell r="B902" t="str">
            <v>VAR_fin</v>
          </cell>
          <cell r="C902" t="str">
            <v>IHFO</v>
          </cell>
          <cell r="D902">
            <v>2.7300043049484755</v>
          </cell>
          <cell r="E902">
            <v>2.7182407459178735</v>
          </cell>
          <cell r="F902">
            <v>1.1675918814892839E-3</v>
          </cell>
          <cell r="G902">
            <v>2.1361049538120043E-4</v>
          </cell>
          <cell r="H902">
            <v>3.9675465521240557E-4</v>
          </cell>
          <cell r="I902">
            <v>2.4247858294407744E-4</v>
          </cell>
        </row>
        <row r="903">
          <cell r="A903" t="str">
            <v>ITOT-SWHHFOBR</v>
          </cell>
          <cell r="B903" t="str">
            <v>VAR_ncap</v>
          </cell>
          <cell r="C903" t="str">
            <v>-</v>
          </cell>
          <cell r="D903">
            <v>2.9589230913600799E-4</v>
          </cell>
          <cell r="E903">
            <v>8.8883986438250208E-6</v>
          </cell>
          <cell r="F903">
            <v>3.48904788983428E-6</v>
          </cell>
          <cell r="G903">
            <v>5.5253785829500602E-6</v>
          </cell>
          <cell r="H903">
            <v>2.02171579578857E-5</v>
          </cell>
          <cell r="I903">
            <v>2.4285949748806302E-6</v>
          </cell>
          <cell r="J903">
            <v>6.75347562006275E-7</v>
          </cell>
        </row>
        <row r="904">
          <cell r="A904" t="str">
            <v>ITOT-SWHHFOBR</v>
          </cell>
          <cell r="B904" t="str">
            <v>VAR_cap</v>
          </cell>
          <cell r="C904" t="str">
            <v>-</v>
          </cell>
          <cell r="D904">
            <v>0.10101289230913602</v>
          </cell>
          <cell r="E904">
            <v>0.10101974629594926</v>
          </cell>
          <cell r="F904">
            <v>7.5894578068669283E-5</v>
          </cell>
          <cell r="G904">
            <v>1.4117329167617765E-5</v>
          </cell>
          <cell r="H904">
            <v>2.6129745846245611E-5</v>
          </cell>
          <cell r="I904">
            <v>1.6236477332306201E-5</v>
          </cell>
          <cell r="J904">
            <v>-1.4432440316278007E-6</v>
          </cell>
        </row>
        <row r="905">
          <cell r="A905" t="str">
            <v>RHSA-WHSTG-ELCHP</v>
          </cell>
          <cell r="B905" t="str">
            <v>VAR_fout</v>
          </cell>
          <cell r="C905" t="str">
            <v>AUX_RHSA-WHSTG-ELCHP_OUT</v>
          </cell>
          <cell r="D905">
            <v>0.58327977425791833</v>
          </cell>
          <cell r="E905">
            <v>0.67942997013923312</v>
          </cell>
          <cell r="F905">
            <v>0.75693005660647195</v>
          </cell>
          <cell r="G905">
            <v>1.4044469974249734</v>
          </cell>
          <cell r="H905">
            <v>1.5782145535714101</v>
          </cell>
          <cell r="I905">
            <v>2.005319049315279</v>
          </cell>
          <cell r="J905">
            <v>2.754821359811181</v>
          </cell>
        </row>
        <row r="906">
          <cell r="A906" t="str">
            <v>RHSA-WHSTG-ELCHP</v>
          </cell>
          <cell r="B906" t="str">
            <v>VAR_fout</v>
          </cell>
          <cell r="C906" t="str">
            <v>RHSA-WHAELCH</v>
          </cell>
          <cell r="D906">
            <v>0.58269707718073771</v>
          </cell>
          <cell r="E906">
            <v>0.67875121892031265</v>
          </cell>
          <cell r="F906">
            <v>0.75617388272374841</v>
          </cell>
          <cell r="G906">
            <v>1.4030439534715025</v>
          </cell>
          <cell r="H906">
            <v>1.5766379156557546</v>
          </cell>
          <cell r="I906">
            <v>2.0033157335816978</v>
          </cell>
          <cell r="J906">
            <v>2.7520692905206623</v>
          </cell>
        </row>
        <row r="907">
          <cell r="A907" t="str">
            <v>RHSA-WHSTG-ELCHP</v>
          </cell>
          <cell r="B907" t="str">
            <v>VAR_fin</v>
          </cell>
          <cell r="C907" t="str">
            <v>RHSA-WHAELCH</v>
          </cell>
          <cell r="D907">
            <v>0.5827049134862351</v>
          </cell>
          <cell r="E907">
            <v>0.67875425253847177</v>
          </cell>
          <cell r="F907">
            <v>0.75617435105964514</v>
          </cell>
          <cell r="G907">
            <v>1.4030447266572366</v>
          </cell>
          <cell r="H907">
            <v>1.5766388678830823</v>
          </cell>
          <cell r="I907">
            <v>2.0033169737516583</v>
          </cell>
          <cell r="J907">
            <v>2.752070880100316</v>
          </cell>
        </row>
        <row r="908">
          <cell r="A908" t="str">
            <v>RHSA-WHSTG-ELCHP</v>
          </cell>
          <cell r="B908" t="str">
            <v>VAR_ncap</v>
          </cell>
          <cell r="C908" t="str">
            <v>-</v>
          </cell>
          <cell r="D908">
            <v>5.7895195061009597E-2</v>
          </cell>
          <cell r="E908">
            <v>3.2225666988834502E-5</v>
          </cell>
          <cell r="F908">
            <v>1.5922902486336599E-2</v>
          </cell>
          <cell r="G908">
            <v>3.5557757640130201E-2</v>
          </cell>
          <cell r="H908">
            <v>7.5268999978637702E-2</v>
          </cell>
          <cell r="I908">
            <v>6.5881821040222804E-2</v>
          </cell>
          <cell r="J908">
            <v>0.140530742552927</v>
          </cell>
        </row>
        <row r="909">
          <cell r="A909" t="str">
            <v>RHSA-WHSTG-ELCHP</v>
          </cell>
          <cell r="B909" t="str">
            <v>VAR_cap</v>
          </cell>
          <cell r="C909" t="str">
            <v>-</v>
          </cell>
          <cell r="D909">
            <v>5.7896434590412688E-2</v>
          </cell>
          <cell r="E909">
            <v>5.7911625929477982E-2</v>
          </cell>
          <cell r="F909">
            <v>7.383034683073407E-2</v>
          </cell>
          <cell r="G909">
            <v>0.10938474487973156</v>
          </cell>
          <cell r="H909">
            <v>0.14174055345011882</v>
          </cell>
          <cell r="I909">
            <v>0.16823364123967788</v>
          </cell>
          <cell r="J909">
            <v>0.22016684650018056</v>
          </cell>
        </row>
        <row r="910">
          <cell r="A910" t="str">
            <v>RES-ELCSPECADV</v>
          </cell>
          <cell r="B910" t="str">
            <v>VAR_ncap</v>
          </cell>
          <cell r="C910" t="str">
            <v>-</v>
          </cell>
          <cell r="F910">
            <v>1.59383911003515E-8</v>
          </cell>
          <cell r="G910">
            <v>1.72367368209733E-8</v>
          </cell>
          <cell r="H910">
            <v>4.5222562845815701E-8</v>
          </cell>
          <cell r="I910">
            <v>1.75776486427001E-8</v>
          </cell>
          <cell r="J910">
            <v>2.7796388583727201E-8</v>
          </cell>
        </row>
        <row r="911">
          <cell r="A911" t="str">
            <v>RES-ELCSPECADV</v>
          </cell>
          <cell r="B911" t="str">
            <v>VAR_cap</v>
          </cell>
          <cell r="C911" t="str">
            <v>-</v>
          </cell>
          <cell r="F911">
            <v>1.59383911003515E-8</v>
          </cell>
          <cell r="G911">
            <v>-5.3437724537760026E-9</v>
          </cell>
          <cell r="H911">
            <v>-9.6323504520500499E-8</v>
          </cell>
          <cell r="I911">
            <v>-2.6316266635305648E-7</v>
          </cell>
          <cell r="J911">
            <v>-1.8222058866785302E-7</v>
          </cell>
        </row>
        <row r="912">
          <cell r="A912" t="str">
            <v>ITOT-SWHSTG-ELCHP</v>
          </cell>
          <cell r="B912" t="str">
            <v>VAR_fout</v>
          </cell>
          <cell r="C912" t="str">
            <v>ITOT-SWHAELCH</v>
          </cell>
          <cell r="D912">
            <v>4.2659655906062386E-5</v>
          </cell>
          <cell r="E912">
            <v>9.4203778637914323E-6</v>
          </cell>
          <cell r="F912">
            <v>1.5837044433075545E-3</v>
          </cell>
          <cell r="G912">
            <v>3.4944328258276937E-4</v>
          </cell>
          <cell r="H912">
            <v>7.2129873723315613E-4</v>
          </cell>
          <cell r="I912">
            <v>5.1333177893391195E-4</v>
          </cell>
          <cell r="J912">
            <v>5.5990944453256206E-4</v>
          </cell>
        </row>
        <row r="913">
          <cell r="A913" t="str">
            <v>ITOT-SWHSTG-ELCHP</v>
          </cell>
          <cell r="B913" t="str">
            <v>VAR_fin</v>
          </cell>
          <cell r="C913" t="str">
            <v>ITOT-SWHAELCH</v>
          </cell>
          <cell r="D913">
            <v>5.8529906995719213E-5</v>
          </cell>
          <cell r="E913">
            <v>1.2214140253657177E-5</v>
          </cell>
          <cell r="F913">
            <v>2.0493237294597713E-3</v>
          </cell>
          <cell r="G913">
            <v>4.4859344293439658E-4</v>
          </cell>
          <cell r="H913">
            <v>8.9300132414458513E-4</v>
          </cell>
          <cell r="I913">
            <v>6.2356276150534666E-4</v>
          </cell>
          <cell r="J913">
            <v>6.3705085916160504E-4</v>
          </cell>
        </row>
        <row r="914">
          <cell r="A914" t="str">
            <v>ITOT-SWHSTG-ELCHP</v>
          </cell>
          <cell r="B914" t="str">
            <v>VAR_ncap</v>
          </cell>
          <cell r="C914" t="str">
            <v>-</v>
          </cell>
          <cell r="D914">
            <v>6.50824993054423E-3</v>
          </cell>
          <cell r="E914">
            <v>1.14619921345175E-2</v>
          </cell>
          <cell r="F914">
            <v>2.6406716483331301E-5</v>
          </cell>
          <cell r="G914">
            <v>3.3038894095081803E-2</v>
          </cell>
          <cell r="H914">
            <v>4.2039480508372799E-2</v>
          </cell>
          <cell r="I914">
            <v>6.7148703390127101E-2</v>
          </cell>
          <cell r="J914">
            <v>0.10688417576222101</v>
          </cell>
        </row>
        <row r="915">
          <cell r="A915" t="str">
            <v>ITOT-SWHSTG-ELCHP</v>
          </cell>
          <cell r="B915" t="str">
            <v>VAR_cap</v>
          </cell>
          <cell r="C915" t="str">
            <v>-</v>
          </cell>
          <cell r="D915">
            <v>6.50824993054423E-3</v>
          </cell>
          <cell r="E915">
            <v>1.7938891528897313E-2</v>
          </cell>
          <cell r="F915">
            <v>1.7941375837377309E-2</v>
          </cell>
          <cell r="G915">
            <v>5.1004563635712867E-2</v>
          </cell>
          <cell r="H915">
            <v>8.2612321840790509E-2</v>
          </cell>
          <cell r="I915">
            <v>0.13174011210363873</v>
          </cell>
          <cell r="J915">
            <v>0.17338482109888223</v>
          </cell>
        </row>
        <row r="916">
          <cell r="A916" t="str">
            <v>D-RHNS_LTH_CHPWOD</v>
          </cell>
          <cell r="B916" t="str">
            <v>VAR_fout</v>
          </cell>
          <cell r="C916" t="str">
            <v>RHNS_LTH_CHPWOD_ON</v>
          </cell>
          <cell r="D916">
            <v>1.5479116234296634E-5</v>
          </cell>
          <cell r="E916">
            <v>6.2895925528651052E-6</v>
          </cell>
          <cell r="F916">
            <v>2.1939180189665864E-6</v>
          </cell>
          <cell r="G916">
            <v>4.9393200064242155E-6</v>
          </cell>
          <cell r="H916">
            <v>1.441374141988173E-6</v>
          </cell>
          <cell r="I916">
            <v>1.1446802409765679E-6</v>
          </cell>
          <cell r="J916">
            <v>2.9956835992429305E-7</v>
          </cell>
        </row>
        <row r="917">
          <cell r="A917" t="str">
            <v>D-RHNS_LTH_CHPWOD</v>
          </cell>
          <cell r="B917" t="str">
            <v>VAR_fout</v>
          </cell>
          <cell r="C917" t="str">
            <v>RHSA_LTH</v>
          </cell>
          <cell r="D917">
            <v>8.6132651643359659E-6</v>
          </cell>
          <cell r="E917">
            <v>1.5191152142796397E-5</v>
          </cell>
          <cell r="F917">
            <v>3.240937017549503E-6</v>
          </cell>
          <cell r="G917">
            <v>7.3115042140788694E-6</v>
          </cell>
          <cell r="H917">
            <v>9.5299313207988937E-6</v>
          </cell>
          <cell r="I917">
            <v>8.7893593300569322E-6</v>
          </cell>
          <cell r="J917">
            <v>7.5627213760991224E-6</v>
          </cell>
        </row>
        <row r="918">
          <cell r="A918" t="str">
            <v>D-RHNS_LTH_CHPWOD</v>
          </cell>
          <cell r="B918" t="str">
            <v>VAR_fin</v>
          </cell>
          <cell r="C918" t="str">
            <v>RHNS_LTH_CHPWOD</v>
          </cell>
          <cell r="D918">
            <v>2.4092381398632595E-5</v>
          </cell>
          <cell r="E918">
            <v>2.1865216500534258E-5</v>
          </cell>
          <cell r="F918">
            <v>5.7073892151465157E-6</v>
          </cell>
          <cell r="G918">
            <v>1.2793194157636613E-5</v>
          </cell>
          <cell r="H918">
            <v>1.1772728947159025E-5</v>
          </cell>
          <cell r="I918">
            <v>1.0730745991187843E-5</v>
          </cell>
          <cell r="J918">
            <v>8.8835524408063942E-6</v>
          </cell>
        </row>
        <row r="919">
          <cell r="A919" t="str">
            <v>D-SBIO</v>
          </cell>
          <cell r="B919" t="str">
            <v>VAR_fout</v>
          </cell>
          <cell r="C919" t="str">
            <v>SBIO</v>
          </cell>
          <cell r="D919">
            <v>4.0476745403392496</v>
          </cell>
          <cell r="E919">
            <v>4.5832723595517715</v>
          </cell>
          <cell r="F919">
            <v>3.0423987923177669</v>
          </cell>
          <cell r="G919">
            <v>3.0321071621897415</v>
          </cell>
          <cell r="H919">
            <v>2.9905229911034183</v>
          </cell>
          <cell r="I919">
            <v>2.9498830711766528</v>
          </cell>
          <cell r="J919">
            <v>2.8712784321767177</v>
          </cell>
        </row>
        <row r="920">
          <cell r="A920" t="str">
            <v>D-SBIO</v>
          </cell>
          <cell r="B920" t="str">
            <v>VAR_fin</v>
          </cell>
          <cell r="C920" t="str">
            <v>BIO</v>
          </cell>
          <cell r="D920">
            <v>4.0476745403392496</v>
          </cell>
          <cell r="E920">
            <v>4.5832723595517715</v>
          </cell>
          <cell r="F920">
            <v>3.0423987923177669</v>
          </cell>
          <cell r="G920">
            <v>3.0321071621897415</v>
          </cell>
          <cell r="H920">
            <v>2.9905229911034183</v>
          </cell>
          <cell r="I920">
            <v>2.9498830711766528</v>
          </cell>
          <cell r="J920">
            <v>2.8712784321767177</v>
          </cell>
        </row>
        <row r="921">
          <cell r="A921" t="str">
            <v>RHEM-SHDEM</v>
          </cell>
          <cell r="B921" t="str">
            <v>VAR_fout</v>
          </cell>
          <cell r="C921" t="str">
            <v>RHEM-SHD</v>
          </cell>
          <cell r="D921">
            <v>66.986774791699034</v>
          </cell>
          <cell r="E921">
            <v>66.782026660973159</v>
          </cell>
          <cell r="F921">
            <v>66.567190045499089</v>
          </cell>
          <cell r="G921">
            <v>65.190377528488511</v>
          </cell>
          <cell r="H921">
            <v>63.725878929891387</v>
          </cell>
          <cell r="I921">
            <v>62.488267766505729</v>
          </cell>
          <cell r="J921">
            <v>60.758133101145241</v>
          </cell>
        </row>
        <row r="922">
          <cell r="A922" t="str">
            <v>RHEM-SHDEM</v>
          </cell>
          <cell r="B922" t="str">
            <v>VAR_fin</v>
          </cell>
          <cell r="C922" t="str">
            <v>RHEM-SHNST</v>
          </cell>
          <cell r="D922">
            <v>7.267733347667204E-5</v>
          </cell>
        </row>
        <row r="923">
          <cell r="A923" t="str">
            <v>RHEM-SHDEM</v>
          </cell>
          <cell r="B923" t="str">
            <v>VAR_fin</v>
          </cell>
          <cell r="C923" t="str">
            <v>RHEM-SHPLT</v>
          </cell>
          <cell r="D923">
            <v>1.4010158043147871</v>
          </cell>
          <cell r="E923">
            <v>1.6077872161404636</v>
          </cell>
          <cell r="F923">
            <v>0.2834317288979466</v>
          </cell>
          <cell r="G923">
            <v>0.43175688402989809</v>
          </cell>
          <cell r="H923">
            <v>0.50384590411698016</v>
          </cell>
          <cell r="I923">
            <v>0.56881450536648814</v>
          </cell>
          <cell r="J923">
            <v>0.66585329004325811</v>
          </cell>
        </row>
        <row r="924">
          <cell r="A924" t="str">
            <v>RHEM-SHDEM</v>
          </cell>
          <cell r="B924" t="str">
            <v>VAR_fin</v>
          </cell>
          <cell r="C924" t="str">
            <v>RHEM-SHNGAH</v>
          </cell>
          <cell r="D924">
            <v>6.288571586892133E-5</v>
          </cell>
          <cell r="E924">
            <v>1.5903705495193112E-5</v>
          </cell>
          <cell r="F924">
            <v>1.9856114185897127</v>
          </cell>
          <cell r="G924">
            <v>4.2080305960014739</v>
          </cell>
          <cell r="H924">
            <v>5.6181967244009225</v>
          </cell>
          <cell r="I924">
            <v>6.7927854797131424</v>
          </cell>
          <cell r="J924">
            <v>9.1566636704290651</v>
          </cell>
        </row>
        <row r="925">
          <cell r="A925" t="str">
            <v>RHEM-SHDEM</v>
          </cell>
          <cell r="B925" t="str">
            <v>VAR_fin</v>
          </cell>
          <cell r="C925" t="str">
            <v>RHEM-SHLTHC-WOD</v>
          </cell>
          <cell r="D925">
            <v>5.8029100262350393E-5</v>
          </cell>
          <cell r="E925">
            <v>9.6234629698153396E-6</v>
          </cell>
        </row>
        <row r="926">
          <cell r="A926" t="str">
            <v>RHEM-SHDEM</v>
          </cell>
          <cell r="B926" t="str">
            <v>VAR_fin</v>
          </cell>
          <cell r="C926" t="str">
            <v>RHEM-SHSOL</v>
          </cell>
          <cell r="D926">
            <v>0.40790515151597856</v>
          </cell>
          <cell r="E926">
            <v>0.47086187472687097</v>
          </cell>
          <cell r="F926">
            <v>9.0777525602100239E-3</v>
          </cell>
          <cell r="G926">
            <v>1.1274011549191219E-2</v>
          </cell>
          <cell r="H926">
            <v>1.262334252955262E-2</v>
          </cell>
          <cell r="I926">
            <v>1.2956166604633019E-2</v>
          </cell>
          <cell r="J926">
            <v>1.316187997590754E-2</v>
          </cell>
        </row>
        <row r="927">
          <cell r="A927" t="str">
            <v>RHEM-SHDEM</v>
          </cell>
          <cell r="B927" t="str">
            <v>VAR_fin</v>
          </cell>
          <cell r="C927" t="str">
            <v>RHEM-SHLTHD</v>
          </cell>
          <cell r="D927">
            <v>3.4060557412636658</v>
          </cell>
          <cell r="E927">
            <v>3.7887128874690914</v>
          </cell>
          <cell r="F927">
            <v>4.3967247556729951</v>
          </cell>
          <cell r="G927">
            <v>4.8782289762301208</v>
          </cell>
          <cell r="H927">
            <v>5.0391290003021529</v>
          </cell>
          <cell r="I927">
            <v>5.0868078009634941</v>
          </cell>
          <cell r="J927">
            <v>5.1867964482723492</v>
          </cell>
        </row>
        <row r="928">
          <cell r="A928" t="str">
            <v>RHEM-SHDEM</v>
          </cell>
          <cell r="B928" t="str">
            <v>VAR_fin</v>
          </cell>
          <cell r="C928" t="str">
            <v>RHEM-SHNGA</v>
          </cell>
          <cell r="D928">
            <v>18.999243949720974</v>
          </cell>
          <cell r="E928">
            <v>19.056666858034575</v>
          </cell>
          <cell r="F928">
            <v>21.837944172725759</v>
          </cell>
          <cell r="G928">
            <v>18.526427830692022</v>
          </cell>
          <cell r="H928">
            <v>14.946287072834552</v>
          </cell>
          <cell r="I928">
            <v>11.228708663928602</v>
          </cell>
          <cell r="J928">
            <v>4.949628517145749</v>
          </cell>
        </row>
        <row r="929">
          <cell r="A929" t="str">
            <v>RHEM-SHDEM</v>
          </cell>
          <cell r="B929" t="str">
            <v>VAR_fin</v>
          </cell>
          <cell r="C929" t="str">
            <v>RHEM-SHELCB</v>
          </cell>
          <cell r="D929">
            <v>4.6278988797235678</v>
          </cell>
          <cell r="E929">
            <v>3.1710238939317379</v>
          </cell>
          <cell r="F929">
            <v>3.7651791924390658E-2</v>
          </cell>
          <cell r="G929">
            <v>1.3283295563507927E-2</v>
          </cell>
          <cell r="H929">
            <v>5.0808483554665987E-3</v>
          </cell>
          <cell r="I929">
            <v>4.705491768254689E-3</v>
          </cell>
          <cell r="J929">
            <v>3.8982068851097576E-3</v>
          </cell>
        </row>
        <row r="930">
          <cell r="A930" t="str">
            <v>RHEM-SHDEM</v>
          </cell>
          <cell r="B930" t="str">
            <v>VAR_fin</v>
          </cell>
          <cell r="C930" t="str">
            <v>RHEM-SHELCH</v>
          </cell>
          <cell r="D930">
            <v>9.9023904901504167</v>
          </cell>
          <cell r="E930">
            <v>11.655183635781587</v>
          </cell>
          <cell r="F930">
            <v>9.6234138642633216</v>
          </cell>
          <cell r="G930">
            <v>13.225905466748769</v>
          </cell>
          <cell r="H930">
            <v>15.510885336507934</v>
          </cell>
          <cell r="I930">
            <v>17.466701599189275</v>
          </cell>
          <cell r="J930">
            <v>21.579142626464925</v>
          </cell>
        </row>
        <row r="931">
          <cell r="A931" t="str">
            <v>RHEM-SHDEM</v>
          </cell>
          <cell r="B931" t="str">
            <v>VAR_fin</v>
          </cell>
          <cell r="C931" t="str">
            <v>RHEM-SHLFO</v>
          </cell>
          <cell r="D931">
            <v>23.443581487857973</v>
          </cell>
          <cell r="E931">
            <v>18.590946200575107</v>
          </cell>
          <cell r="F931">
            <v>20.885907446347872</v>
          </cell>
          <cell r="G931">
            <v>14.13138394267332</v>
          </cell>
          <cell r="H931">
            <v>10.465423702794007</v>
          </cell>
          <cell r="I931">
            <v>7.9513665033001084</v>
          </cell>
          <cell r="J931">
            <v>2.6681324757316949</v>
          </cell>
        </row>
        <row r="932">
          <cell r="A932" t="str">
            <v>RHEM-SHDEM</v>
          </cell>
          <cell r="B932" t="str">
            <v>VAR_fin</v>
          </cell>
          <cell r="C932" t="str">
            <v>RHEM-SHCON</v>
          </cell>
          <cell r="D932">
            <v>6.6311839713299727E-3</v>
          </cell>
          <cell r="E932">
            <v>4.4471791166056676</v>
          </cell>
          <cell r="F932">
            <v>2.861271389438365</v>
          </cell>
          <cell r="G932">
            <v>5.1425354890921611</v>
          </cell>
          <cell r="H932">
            <v>7.313883659286347</v>
          </cell>
          <cell r="I932">
            <v>9.3795546438803132</v>
          </cell>
          <cell r="J932">
            <v>13.230124010644216</v>
          </cell>
        </row>
        <row r="933">
          <cell r="A933" t="str">
            <v>RHEM-SHDEM</v>
          </cell>
          <cell r="B933" t="str">
            <v>VAR_fin</v>
          </cell>
          <cell r="C933" t="str">
            <v>RHEM-SHWOD</v>
          </cell>
          <cell r="D933">
            <v>4.7437939950918189</v>
          </cell>
          <cell r="E933">
            <v>3.9932623374788649</v>
          </cell>
          <cell r="F933">
            <v>4.6463873908354065</v>
          </cell>
          <cell r="G933">
            <v>4.6217325837744303</v>
          </cell>
          <cell r="H933">
            <v>4.310719589089234</v>
          </cell>
          <cell r="I933">
            <v>3.9960444599863485</v>
          </cell>
          <cell r="J933">
            <v>3.3048808940917791</v>
          </cell>
        </row>
        <row r="934">
          <cell r="A934" t="str">
            <v>RHEM-SHDEM</v>
          </cell>
          <cell r="B934" t="str">
            <v>VAR_fin</v>
          </cell>
          <cell r="C934" t="str">
            <v>RHEM-SHLTHC-NGA</v>
          </cell>
          <cell r="D934">
            <v>4.827937539761009E-2</v>
          </cell>
          <cell r="E934">
            <v>5.8541614150846375E-4</v>
          </cell>
        </row>
        <row r="935">
          <cell r="A935" t="str">
            <v>RHNS-SHSTG-ELC</v>
          </cell>
          <cell r="B935" t="str">
            <v>VAR_fout</v>
          </cell>
          <cell r="C935" t="str">
            <v>RHNS-SHAELCB</v>
          </cell>
          <cell r="E935">
            <v>9.9590964498478277E-5</v>
          </cell>
          <cell r="F935">
            <v>1.6467105331694663E-3</v>
          </cell>
          <cell r="G935">
            <v>3.5433007804788904E-3</v>
          </cell>
          <cell r="H935">
            <v>2.8807401794621037E-3</v>
          </cell>
          <cell r="I935">
            <v>5.4386042087754202E-3</v>
          </cell>
          <cell r="J935">
            <v>3.9625424547860772E-3</v>
          </cell>
        </row>
        <row r="936">
          <cell r="A936" t="str">
            <v>RHNS-SHSTG-ELC</v>
          </cell>
          <cell r="B936" t="str">
            <v>VAR_fout</v>
          </cell>
          <cell r="C936" t="str">
            <v>AUX_RHNS-SHSTG-ELC_OUT</v>
          </cell>
          <cell r="E936">
            <v>9.9690555462976832E-5</v>
          </cell>
          <cell r="F936">
            <v>1.6483572437026386E-3</v>
          </cell>
          <cell r="G936">
            <v>3.5468440812593677E-3</v>
          </cell>
          <cell r="H936">
            <v>2.8836209196415664E-3</v>
          </cell>
          <cell r="I936">
            <v>5.4440428129842022E-3</v>
          </cell>
          <cell r="J936">
            <v>3.9665049972408628E-3</v>
          </cell>
        </row>
        <row r="937">
          <cell r="A937" t="str">
            <v>RHNS-SHSTG-ELC</v>
          </cell>
          <cell r="B937" t="str">
            <v>VAR_fin</v>
          </cell>
          <cell r="C937" t="str">
            <v>RHNS-SHAELCB</v>
          </cell>
          <cell r="E937">
            <v>9.6707832556580894E-5</v>
          </cell>
          <cell r="F937">
            <v>1.6446917770700472E-3</v>
          </cell>
          <cell r="G937">
            <v>3.5414302435502715E-3</v>
          </cell>
          <cell r="H937">
            <v>2.8797397478261253E-3</v>
          </cell>
          <cell r="I937">
            <v>5.4377266202015025E-3</v>
          </cell>
          <cell r="J937">
            <v>3.962537172009767E-3</v>
          </cell>
        </row>
        <row r="938">
          <cell r="A938" t="str">
            <v>RHNS-SHSTG-ELC</v>
          </cell>
          <cell r="B938" t="str">
            <v>VAR_ncap</v>
          </cell>
          <cell r="C938" t="str">
            <v>-</v>
          </cell>
          <cell r="D938">
            <v>8.5135877308267205E-6</v>
          </cell>
          <cell r="E938">
            <v>1.7757268270690099E-5</v>
          </cell>
          <cell r="F938">
            <v>8.7181866168600396E-4</v>
          </cell>
          <cell r="G938">
            <v>8.7174215298936302E-6</v>
          </cell>
          <cell r="H938">
            <v>5.7763289994390901E-4</v>
          </cell>
          <cell r="I938">
            <v>2.6836001443382597E-4</v>
          </cell>
          <cell r="J938">
            <v>6.5565229144282799E-6</v>
          </cell>
        </row>
        <row r="939">
          <cell r="A939" t="str">
            <v>RHNS-SHSTG-ELC</v>
          </cell>
          <cell r="B939" t="str">
            <v>VAR_cap</v>
          </cell>
          <cell r="C939" t="str">
            <v>-</v>
          </cell>
          <cell r="D939">
            <v>8.5135877308267205E-6</v>
          </cell>
          <cell r="E939">
            <v>2.4479246915833419E-5</v>
          </cell>
          <cell r="F939">
            <v>8.9391352704421727E-4</v>
          </cell>
          <cell r="G939">
            <v>8.9364340806547937E-4</v>
          </cell>
          <cell r="H939">
            <v>1.4523602488891293E-3</v>
          </cell>
          <cell r="I939">
            <v>9.9503386134506644E-4</v>
          </cell>
          <cell r="J939">
            <v>4.2120667721279862E-4</v>
          </cell>
        </row>
        <row r="940">
          <cell r="A940" t="str">
            <v>RHES-SHCOABR</v>
          </cell>
          <cell r="B940" t="str">
            <v>VAR_fout</v>
          </cell>
          <cell r="C940" t="str">
            <v>CO2_R</v>
          </cell>
          <cell r="D940">
            <v>9.2700810955579893</v>
          </cell>
          <cell r="E940">
            <v>9.27005946500765</v>
          </cell>
          <cell r="F940">
            <v>2.4985699249556999</v>
          </cell>
          <cell r="G940">
            <v>0.561906252020832</v>
          </cell>
          <cell r="H940">
            <v>2.1079306007833799E-2</v>
          </cell>
        </row>
        <row r="941">
          <cell r="A941" t="str">
            <v>RHES-SHCOABR</v>
          </cell>
          <cell r="B941" t="str">
            <v>VAR_fout</v>
          </cell>
          <cell r="C941" t="str">
            <v>RHES-SHCOA</v>
          </cell>
          <cell r="D941">
            <v>7.2000629868411645E-2</v>
          </cell>
          <cell r="E941">
            <v>7.2000461864137069E-2</v>
          </cell>
          <cell r="F941">
            <v>2.1543782378820975E-2</v>
          </cell>
          <cell r="G941">
            <v>4.8487062290993458E-3</v>
          </cell>
          <cell r="H941">
            <v>1.8191418345487643E-4</v>
          </cell>
        </row>
        <row r="942">
          <cell r="A942" t="str">
            <v>RHES-SHCOABR</v>
          </cell>
          <cell r="B942" t="str">
            <v>VAR_fin</v>
          </cell>
          <cell r="C942" t="str">
            <v>RCOA</v>
          </cell>
          <cell r="D942">
            <v>0.10000087481723838</v>
          </cell>
          <cell r="E942">
            <v>0.10000064147796808</v>
          </cell>
          <cell r="F942">
            <v>2.6953289373847958E-2</v>
          </cell>
          <cell r="G942">
            <v>6.0615561167295905E-3</v>
          </cell>
          <cell r="H942">
            <v>2.2739272931859565E-4</v>
          </cell>
        </row>
        <row r="943">
          <cell r="A943" t="str">
            <v>RHES-SHCOABR</v>
          </cell>
          <cell r="B943" t="str">
            <v>VAR_cap</v>
          </cell>
          <cell r="C943" t="str">
            <v>-</v>
          </cell>
          <cell r="D943">
            <v>7.0000000000000001E-3</v>
          </cell>
          <cell r="E943">
            <v>6.3207583524111438E-3</v>
          </cell>
          <cell r="F943">
            <v>2.0116795184501202E-3</v>
          </cell>
          <cell r="G943">
            <v>5.2598815053771057E-4</v>
          </cell>
          <cell r="H943">
            <v>2.5488998555499949E-5</v>
          </cell>
        </row>
        <row r="944">
          <cell r="A944" t="str">
            <v>D-INGA</v>
          </cell>
          <cell r="B944" t="str">
            <v>VAR_fout</v>
          </cell>
          <cell r="C944" t="str">
            <v>CO2</v>
          </cell>
          <cell r="D944">
            <v>2101.5527816373201</v>
          </cell>
          <cell r="E944">
            <v>1848.2740845886999</v>
          </cell>
          <cell r="F944">
            <v>1887.2180135369499</v>
          </cell>
          <cell r="G944">
            <v>1779.59971786542</v>
          </cell>
          <cell r="H944">
            <v>1516.34651725253</v>
          </cell>
          <cell r="I944">
            <v>891.23636622245601</v>
          </cell>
          <cell r="J944">
            <v>423.29328270687</v>
          </cell>
        </row>
        <row r="945">
          <cell r="A945" t="str">
            <v>D-INGA</v>
          </cell>
          <cell r="B945" t="str">
            <v>VAR_fout</v>
          </cell>
          <cell r="C945" t="str">
            <v>INGA</v>
          </cell>
          <cell r="D945">
            <v>37.470322598049435</v>
          </cell>
          <cell r="E945">
            <v>32.66647810036698</v>
          </cell>
          <cell r="F945">
            <v>36.33265157194711</v>
          </cell>
          <cell r="G945">
            <v>34.939394332226712</v>
          </cell>
          <cell r="H945">
            <v>30.28665078254781</v>
          </cell>
          <cell r="I945">
            <v>19.238428735519346</v>
          </cell>
          <cell r="J945">
            <v>10.967989228324603</v>
          </cell>
        </row>
        <row r="946">
          <cell r="A946" t="str">
            <v>D-INGA</v>
          </cell>
          <cell r="B946" t="str">
            <v>VAR_fin</v>
          </cell>
          <cell r="C946" t="str">
            <v>NGA</v>
          </cell>
          <cell r="D946">
            <v>37.261574142505708</v>
          </cell>
          <cell r="E946">
            <v>32.770817102636464</v>
          </cell>
          <cell r="F946">
            <v>33.461312296754379</v>
          </cell>
          <cell r="G946">
            <v>31.55318648697542</v>
          </cell>
          <cell r="H946">
            <v>26.885576547030684</v>
          </cell>
          <cell r="I946">
            <v>15.802063230894623</v>
          </cell>
          <cell r="J946">
            <v>7.5052000479941459</v>
          </cell>
        </row>
        <row r="947">
          <cell r="A947" t="str">
            <v>D-INGA</v>
          </cell>
          <cell r="B947" t="str">
            <v>VAR_fin</v>
          </cell>
          <cell r="C947" t="str">
            <v>BNGA</v>
          </cell>
          <cell r="D947">
            <v>0.32845188208644693</v>
          </cell>
          <cell r="E947">
            <v>1.9078613225042518E-5</v>
          </cell>
          <cell r="F947">
            <v>2.9874082755907003</v>
          </cell>
          <cell r="G947">
            <v>3.4978296326195717</v>
          </cell>
          <cell r="H947">
            <v>3.4978310392573073</v>
          </cell>
          <cell r="I947">
            <v>3.4978323935870606</v>
          </cell>
          <cell r="J947">
            <v>3.4978329338868175</v>
          </cell>
        </row>
        <row r="948">
          <cell r="A948" t="str">
            <v>D-INGA</v>
          </cell>
          <cell r="B948" t="str">
            <v>VAR_ncap</v>
          </cell>
          <cell r="C948" t="str">
            <v>-</v>
          </cell>
          <cell r="D948">
            <v>1.19799952748988E-7</v>
          </cell>
          <cell r="E948">
            <v>8.1807591519007195E-8</v>
          </cell>
          <cell r="F948">
            <v>9.5191238806530596E-8</v>
          </cell>
          <cell r="G948">
            <v>1.11872064592827E-7</v>
          </cell>
          <cell r="H948">
            <v>2.22034394508261E-7</v>
          </cell>
          <cell r="I948">
            <v>2.6680482257426499E-7</v>
          </cell>
          <cell r="J948">
            <v>4.9037528999077797E-7</v>
          </cell>
        </row>
        <row r="949">
          <cell r="A949" t="str">
            <v>D-INGA</v>
          </cell>
          <cell r="B949" t="str">
            <v>VAR_cap</v>
          </cell>
          <cell r="C949" t="str">
            <v>-</v>
          </cell>
          <cell r="D949">
            <v>1.9844834900660528</v>
          </cell>
          <cell r="E949">
            <v>1.9844835718736442</v>
          </cell>
          <cell r="F949">
            <v>1.9844836670648831</v>
          </cell>
          <cell r="G949">
            <v>1.9844837789369476</v>
          </cell>
          <cell r="H949">
            <v>1.9844840009713423</v>
          </cell>
          <cell r="I949">
            <v>1.9844842677761647</v>
          </cell>
          <cell r="J949">
            <v>1.0954608253312745</v>
          </cell>
        </row>
        <row r="950">
          <cell r="A950" t="str">
            <v>RHEM-SHNGAHP</v>
          </cell>
          <cell r="B950" t="str">
            <v>VAR_fout</v>
          </cell>
          <cell r="C950" t="str">
            <v>CO2_R</v>
          </cell>
          <cell r="F950">
            <v>59.410593094646799</v>
          </cell>
          <cell r="G950">
            <v>122.83748799396299</v>
          </cell>
          <cell r="H950">
            <v>161.73235488766301</v>
          </cell>
          <cell r="I950">
            <v>193.27346638820799</v>
          </cell>
          <cell r="J950">
            <v>254.45600042012799</v>
          </cell>
        </row>
        <row r="951">
          <cell r="A951" t="str">
            <v>RHEM-SHNGAHP</v>
          </cell>
          <cell r="B951" t="str">
            <v>VAR_fout</v>
          </cell>
          <cell r="C951" t="str">
            <v>RHEM-SHANGAH</v>
          </cell>
          <cell r="F951">
            <v>1.9856214302316129</v>
          </cell>
          <cell r="G951">
            <v>4.2080399106017348</v>
          </cell>
          <cell r="H951">
            <v>5.6182006837593086</v>
          </cell>
          <cell r="I951">
            <v>6.7927895815028112</v>
          </cell>
          <cell r="J951">
            <v>9.1566679858252584</v>
          </cell>
        </row>
        <row r="952">
          <cell r="A952" t="str">
            <v>RHEM-SHNGAHP</v>
          </cell>
          <cell r="B952" t="str">
            <v>VAR_fin</v>
          </cell>
          <cell r="C952" t="str">
            <v>RHEMELCHPC</v>
          </cell>
          <cell r="F952">
            <v>1.9856214302316129</v>
          </cell>
          <cell r="G952">
            <v>4.2080399106017348</v>
          </cell>
          <cell r="H952">
            <v>5.6182006837593086</v>
          </cell>
          <cell r="I952">
            <v>6.7927895815028112</v>
          </cell>
          <cell r="J952">
            <v>9.1566679858252584</v>
          </cell>
        </row>
        <row r="953">
          <cell r="A953" t="str">
            <v>RHEM-SHNGAHP</v>
          </cell>
          <cell r="B953" t="str">
            <v>VAR_fin</v>
          </cell>
          <cell r="C953" t="str">
            <v>RNGA</v>
          </cell>
          <cell r="F953">
            <v>1.0533793101887747</v>
          </cell>
          <cell r="G953">
            <v>2.1779696452830297</v>
          </cell>
          <cell r="H953">
            <v>2.8675949448167177</v>
          </cell>
          <cell r="I953">
            <v>3.4268345104292224</v>
          </cell>
          <cell r="J953">
            <v>4.511631213122838</v>
          </cell>
        </row>
        <row r="954">
          <cell r="A954" t="str">
            <v>RHEM-SHNGAHP</v>
          </cell>
          <cell r="B954" t="str">
            <v>VAR_ncap</v>
          </cell>
          <cell r="C954" t="str">
            <v>-</v>
          </cell>
          <cell r="D954">
            <v>2.59208192242828E-8</v>
          </cell>
          <cell r="E954">
            <v>4.15544430262029E-8</v>
          </cell>
          <cell r="F954">
            <v>0.14021850888913301</v>
          </cell>
          <cell r="G954">
            <v>0.156929316076617</v>
          </cell>
          <cell r="H954">
            <v>9.9581481979273898E-2</v>
          </cell>
          <cell r="I954">
            <v>0.248071672231512</v>
          </cell>
          <cell r="J954">
            <v>0.424432337906826</v>
          </cell>
        </row>
        <row r="955">
          <cell r="A955" t="str">
            <v>RHEM-SHNGAHP</v>
          </cell>
          <cell r="B955" t="str">
            <v>VAR_cap</v>
          </cell>
          <cell r="C955" t="str">
            <v>-</v>
          </cell>
          <cell r="D955">
            <v>2.59208192242828E-8</v>
          </cell>
          <cell r="E955">
            <v>-7.26607362071393E-8</v>
          </cell>
          <cell r="F955">
            <v>0.14021850862722154</v>
          </cell>
          <cell r="G955">
            <v>0.29714783574790821</v>
          </cell>
          <cell r="H955">
            <v>0.39672919316812189</v>
          </cell>
          <cell r="I955">
            <v>0.47966941411993652</v>
          </cell>
          <cell r="J955">
            <v>0.64658866452912112</v>
          </cell>
        </row>
        <row r="956">
          <cell r="A956" t="str">
            <v>D-SPLT</v>
          </cell>
          <cell r="B956" t="str">
            <v>VAR_fout</v>
          </cell>
          <cell r="C956" t="str">
            <v>SPLT</v>
          </cell>
          <cell r="D956">
            <v>2.0856350343101524</v>
          </cell>
          <cell r="E956">
            <v>2.4000923132040493</v>
          </cell>
          <cell r="F956">
            <v>0.63650852920184731</v>
          </cell>
          <cell r="G956">
            <v>1.0634489422894986</v>
          </cell>
          <cell r="H956">
            <v>1.2909844397842793</v>
          </cell>
          <cell r="I956">
            <v>1.5136729576263734</v>
          </cell>
          <cell r="J956">
            <v>1.8537009794738641</v>
          </cell>
        </row>
        <row r="957">
          <cell r="A957" t="str">
            <v>D-SPLT</v>
          </cell>
          <cell r="B957" t="str">
            <v>VAR_fin</v>
          </cell>
          <cell r="C957" t="str">
            <v>PLT</v>
          </cell>
          <cell r="D957">
            <v>2.0856350343101524</v>
          </cell>
          <cell r="E957">
            <v>2.4000923132040493</v>
          </cell>
          <cell r="F957">
            <v>0.63650852920184731</v>
          </cell>
          <cell r="G957">
            <v>1.0634489422894986</v>
          </cell>
          <cell r="H957">
            <v>1.2909844397842793</v>
          </cell>
          <cell r="I957">
            <v>1.5136729576263734</v>
          </cell>
          <cell r="J957">
            <v>1.8537009794738641</v>
          </cell>
        </row>
        <row r="958">
          <cell r="A958" t="str">
            <v>RHES-SHCONBR</v>
          </cell>
          <cell r="B958" t="str">
            <v>VAR_fout</v>
          </cell>
          <cell r="C958" t="str">
            <v>RHES-SHCON</v>
          </cell>
          <cell r="F958">
            <v>2.2385705944874054E-5</v>
          </cell>
          <cell r="G958">
            <v>1.8230157972424191E-5</v>
          </cell>
          <cell r="H958">
            <v>3.3353707049783384E-5</v>
          </cell>
          <cell r="I958">
            <v>3.3371453940379639E-5</v>
          </cell>
          <cell r="J958">
            <v>3.0103717410163878E-5</v>
          </cell>
        </row>
        <row r="959">
          <cell r="A959" t="str">
            <v>RHES-SHCONBR</v>
          </cell>
          <cell r="B959" t="str">
            <v>VAR_fin</v>
          </cell>
          <cell r="C959" t="str">
            <v>CON</v>
          </cell>
          <cell r="F959">
            <v>2.2385705944874054E-5</v>
          </cell>
          <cell r="G959">
            <v>1.8230157972424191E-5</v>
          </cell>
          <cell r="H959">
            <v>3.3353707049783384E-5</v>
          </cell>
          <cell r="I959">
            <v>3.3371453940379639E-5</v>
          </cell>
          <cell r="J959">
            <v>3.0103717410163878E-5</v>
          </cell>
        </row>
        <row r="960">
          <cell r="A960" t="str">
            <v>RHES-SHCONBR</v>
          </cell>
          <cell r="B960" t="str">
            <v>VAR_ncap</v>
          </cell>
          <cell r="C960" t="str">
            <v>-</v>
          </cell>
          <cell r="F960">
            <v>6.2056925445762903E-7</v>
          </cell>
          <cell r="G960">
            <v>2.2030769980016299E-8</v>
          </cell>
          <cell r="H960">
            <v>9.3676931227696096E-7</v>
          </cell>
          <cell r="I960">
            <v>3.8340956675112197E-8</v>
          </cell>
          <cell r="J960">
            <v>2.1231356422039401E-8</v>
          </cell>
        </row>
        <row r="961">
          <cell r="A961" t="str">
            <v>RHES-SHCONBR</v>
          </cell>
          <cell r="B961" t="str">
            <v>VAR_cap</v>
          </cell>
          <cell r="C961" t="str">
            <v>-</v>
          </cell>
          <cell r="F961">
            <v>6.2056925445762903E-7</v>
          </cell>
          <cell r="G961">
            <v>6.4260002443764496E-7</v>
          </cell>
          <cell r="H961">
            <v>1.5793693367146099E-6</v>
          </cell>
          <cell r="I961">
            <v>1.61771029338972E-6</v>
          </cell>
          <cell r="J961">
            <v>1.63894164981176E-6</v>
          </cell>
        </row>
        <row r="962">
          <cell r="A962" t="str">
            <v>RHSA-WHSOLBR</v>
          </cell>
          <cell r="B962" t="str">
            <v>VAR_fout</v>
          </cell>
          <cell r="C962" t="str">
            <v>RHSA-WHASOL</v>
          </cell>
          <cell r="D962">
            <v>1.721488024659851</v>
          </cell>
          <cell r="E962">
            <v>1.9867276432802017</v>
          </cell>
          <cell r="F962">
            <v>0.904547782524736</v>
          </cell>
          <cell r="G962">
            <v>1.0742208068571992</v>
          </cell>
          <cell r="H962">
            <v>1.1916306080095367</v>
          </cell>
          <cell r="I962">
            <v>1.2853373480142947</v>
          </cell>
          <cell r="J962">
            <v>1.4830723162413373</v>
          </cell>
        </row>
        <row r="963">
          <cell r="A963" t="str">
            <v>RHSA-WHSOLBR</v>
          </cell>
          <cell r="B963" t="str">
            <v>VAR_fin</v>
          </cell>
          <cell r="C963" t="str">
            <v>SOL</v>
          </cell>
          <cell r="D963">
            <v>1.721488024659851</v>
          </cell>
          <cell r="E963">
            <v>1.9867276432802017</v>
          </cell>
          <cell r="F963">
            <v>0.904547782524736</v>
          </cell>
          <cell r="G963">
            <v>1.0742208068571992</v>
          </cell>
          <cell r="H963">
            <v>1.1916306080095367</v>
          </cell>
          <cell r="I963">
            <v>1.2853373480142947</v>
          </cell>
          <cell r="J963">
            <v>1.4830723162413373</v>
          </cell>
        </row>
        <row r="964">
          <cell r="A964" t="str">
            <v>RHSA-WHSOLBR</v>
          </cell>
          <cell r="B964" t="str">
            <v>VAR_fin</v>
          </cell>
          <cell r="C964" t="str">
            <v>RHSASOLBRC</v>
          </cell>
          <cell r="D964">
            <v>1.721488024659851</v>
          </cell>
          <cell r="E964">
            <v>1.9867276432802017</v>
          </cell>
          <cell r="F964">
            <v>0.904547782524736</v>
          </cell>
          <cell r="G964">
            <v>1.0742208068571992</v>
          </cell>
          <cell r="H964">
            <v>1.1916306080095367</v>
          </cell>
          <cell r="I964">
            <v>1.2853373480142947</v>
          </cell>
          <cell r="J964">
            <v>1.4830723162413373</v>
          </cell>
        </row>
        <row r="965">
          <cell r="A965" t="str">
            <v>RHSA-WHSOLBR</v>
          </cell>
          <cell r="B965" t="str">
            <v>VAR_ncap</v>
          </cell>
          <cell r="C965" t="str">
            <v>-</v>
          </cell>
          <cell r="E965">
            <v>8.2533502733755607E-2</v>
          </cell>
          <cell r="F965">
            <v>7.8253596569246703E-8</v>
          </cell>
          <cell r="G965">
            <v>1.44858544624595E-7</v>
          </cell>
          <cell r="H965">
            <v>0.162132606691545</v>
          </cell>
          <cell r="I965">
            <v>0.13547765652066401</v>
          </cell>
          <cell r="J965">
            <v>0.22352635842544799</v>
          </cell>
        </row>
        <row r="966">
          <cell r="A966" t="str">
            <v>RHSA-WHSOLBR</v>
          </cell>
          <cell r="B966" t="str">
            <v>VAR_cap</v>
          </cell>
          <cell r="C966" t="str">
            <v>-</v>
          </cell>
          <cell r="D966">
            <v>0.25000991745774798</v>
          </cell>
          <cell r="E966">
            <v>0.33254339333488253</v>
          </cell>
          <cell r="F966">
            <v>0.33254266347766398</v>
          </cell>
          <cell r="G966">
            <v>0.33254298159448803</v>
          </cell>
          <cell r="H966">
            <v>0.26925417926785089</v>
          </cell>
          <cell r="I966">
            <v>0.29761019633831987</v>
          </cell>
          <cell r="J966">
            <v>0.39042817816712033</v>
          </cell>
        </row>
        <row r="967">
          <cell r="A967" t="str">
            <v>SCOM-SHCONBR</v>
          </cell>
          <cell r="B967" t="str">
            <v>VAR_ncap</v>
          </cell>
          <cell r="C967" t="str">
            <v>-</v>
          </cell>
          <cell r="E967">
            <v>1.8341746806458499E-8</v>
          </cell>
          <cell r="H967">
            <v>1.69713821191192E-7</v>
          </cell>
          <cell r="I967">
            <v>4.1933995440423601E-8</v>
          </cell>
          <cell r="J967">
            <v>6.7548414898021998E-8</v>
          </cell>
        </row>
        <row r="968">
          <cell r="A968" t="str">
            <v>SCOM-SHCONBR</v>
          </cell>
          <cell r="B968" t="str">
            <v>VAR_cap</v>
          </cell>
          <cell r="C968" t="str">
            <v>-</v>
          </cell>
          <cell r="E968">
            <v>1.8341746806458499E-8</v>
          </cell>
          <cell r="F968">
            <v>1.8341746806458499E-8</v>
          </cell>
          <cell r="G968">
            <v>1.8341746806458499E-8</v>
          </cell>
          <cell r="H968">
            <v>1.8805556799765001E-7</v>
          </cell>
          <cell r="I968">
            <v>2.2998956343807399E-7</v>
          </cell>
          <cell r="J968">
            <v>2.9753797833609598E-7</v>
          </cell>
        </row>
        <row r="969">
          <cell r="A969" t="str">
            <v>RHNM-SHNGABR</v>
          </cell>
          <cell r="B969" t="str">
            <v>VAR_fout</v>
          </cell>
          <cell r="C969" t="str">
            <v>CO2_R</v>
          </cell>
          <cell r="E969">
            <v>43.098996700610499</v>
          </cell>
          <cell r="F969">
            <v>9.5508830340998507</v>
          </cell>
          <cell r="G969">
            <v>16.196978724138798</v>
          </cell>
          <cell r="H969">
            <v>19.904702663940199</v>
          </cell>
          <cell r="I969">
            <v>21.5738675431678</v>
          </cell>
          <cell r="J969">
            <v>18.010463625847699</v>
          </cell>
        </row>
        <row r="970">
          <cell r="A970" t="str">
            <v>RHNM-SHNGABR</v>
          </cell>
          <cell r="B970" t="str">
            <v>VAR_fout</v>
          </cell>
          <cell r="C970" t="str">
            <v>RHNM-SHNGA</v>
          </cell>
          <cell r="E970">
            <v>0.72595827775851085</v>
          </cell>
          <cell r="F970">
            <v>0.16253153307871893</v>
          </cell>
          <cell r="G970">
            <v>0.27563103577739356</v>
          </cell>
          <cell r="H970">
            <v>0.33872760640662747</v>
          </cell>
          <cell r="I970">
            <v>0.3671371386714386</v>
          </cell>
          <cell r="J970">
            <v>0.30649627696605447</v>
          </cell>
        </row>
        <row r="971">
          <cell r="A971" t="str">
            <v>RHNM-SHNGABR</v>
          </cell>
          <cell r="B971" t="str">
            <v>VAR_fin</v>
          </cell>
          <cell r="C971" t="str">
            <v>RNGA</v>
          </cell>
          <cell r="E971">
            <v>0.76416660816685322</v>
          </cell>
          <cell r="F971">
            <v>0.16934189776772784</v>
          </cell>
          <cell r="G971">
            <v>0.28718047383224876</v>
          </cell>
          <cell r="H971">
            <v>0.35292025999894022</v>
          </cell>
          <cell r="I971">
            <v>0.38251538197106061</v>
          </cell>
          <cell r="J971">
            <v>0.31933446145119959</v>
          </cell>
        </row>
        <row r="972">
          <cell r="A972" t="str">
            <v>RHNM-SHNGABR</v>
          </cell>
          <cell r="B972" t="str">
            <v>VAR_ncap</v>
          </cell>
          <cell r="C972" t="str">
            <v>-</v>
          </cell>
          <cell r="E972">
            <v>5.6356266029188903E-2</v>
          </cell>
          <cell r="F972">
            <v>1.0938180193216199E-7</v>
          </cell>
          <cell r="G972">
            <v>1.1108684554560199E-7</v>
          </cell>
          <cell r="H972">
            <v>1.5414601020029399E-6</v>
          </cell>
          <cell r="I972">
            <v>2.8521696113422298E-2</v>
          </cell>
          <cell r="J972">
            <v>3.1079781340924502E-3</v>
          </cell>
        </row>
        <row r="973">
          <cell r="A973" t="str">
            <v>RHNM-SHNGABR</v>
          </cell>
          <cell r="B973" t="str">
            <v>VAR_cap</v>
          </cell>
          <cell r="C973" t="str">
            <v>-</v>
          </cell>
          <cell r="E973">
            <v>5.6356266029188903E-2</v>
          </cell>
          <cell r="F973">
            <v>5.1613839302969644E-2</v>
          </cell>
          <cell r="G973">
            <v>5.1609416813533322E-2</v>
          </cell>
          <cell r="H973">
            <v>2.6442352562043268E-2</v>
          </cell>
          <cell r="I973">
            <v>2.8523121924662255E-2</v>
          </cell>
          <cell r="J973">
            <v>2.3807648004863454E-2</v>
          </cell>
        </row>
        <row r="974">
          <cell r="A974" t="str">
            <v>RHES-SHSOLBR</v>
          </cell>
          <cell r="B974" t="str">
            <v>VAR_fout</v>
          </cell>
          <cell r="C974" t="str">
            <v>RHES-SHASOL</v>
          </cell>
          <cell r="D974">
            <v>0.37732610756439694</v>
          </cell>
          <cell r="E974">
            <v>0.43546600121653306</v>
          </cell>
          <cell r="F974">
            <v>2.1586262541280269E-2</v>
          </cell>
          <cell r="G974">
            <v>2.4413160710350424E-2</v>
          </cell>
          <cell r="H974">
            <v>2.5726240834152973E-2</v>
          </cell>
          <cell r="I974">
            <v>2.6314649035565425E-2</v>
          </cell>
          <cell r="J974">
            <v>2.7393736914133816E-2</v>
          </cell>
        </row>
        <row r="975">
          <cell r="A975" t="str">
            <v>RHES-SHSOLBR</v>
          </cell>
          <cell r="B975" t="str">
            <v>VAR_fin</v>
          </cell>
          <cell r="C975" t="str">
            <v>SOL</v>
          </cell>
          <cell r="D975">
            <v>0.37732610756439694</v>
          </cell>
          <cell r="E975">
            <v>0.43546600121653306</v>
          </cell>
          <cell r="F975">
            <v>2.1586262541280269E-2</v>
          </cell>
          <cell r="G975">
            <v>2.4413160710350424E-2</v>
          </cell>
          <cell r="H975">
            <v>2.5726240834152973E-2</v>
          </cell>
          <cell r="I975">
            <v>2.6314649035565425E-2</v>
          </cell>
          <cell r="J975">
            <v>2.7393736914133816E-2</v>
          </cell>
        </row>
        <row r="976">
          <cell r="A976" t="str">
            <v>RHES-SHSOLBR</v>
          </cell>
          <cell r="B976" t="str">
            <v>VAR_ncap</v>
          </cell>
          <cell r="C976" t="str">
            <v>-</v>
          </cell>
          <cell r="E976">
            <v>8.4436770106085905E-3</v>
          </cell>
          <cell r="F976">
            <v>2.7321773847493801E-8</v>
          </cell>
          <cell r="G976">
            <v>4.4839729423509002E-8</v>
          </cell>
          <cell r="H976">
            <v>1.5235987817038301E-7</v>
          </cell>
          <cell r="I976">
            <v>3.8282607416436202E-3</v>
          </cell>
          <cell r="J976">
            <v>1.2034647122525599E-3</v>
          </cell>
        </row>
        <row r="977">
          <cell r="A977" t="str">
            <v>RHES-SHSOLBR</v>
          </cell>
          <cell r="B977" t="str">
            <v>VAR_cap</v>
          </cell>
          <cell r="C977" t="str">
            <v>-</v>
          </cell>
          <cell r="D977">
            <v>5.4798678617278197E-2</v>
          </cell>
          <cell r="E977">
            <v>6.324234363253603E-2</v>
          </cell>
          <cell r="F977">
            <v>6.3240870099760635E-2</v>
          </cell>
          <cell r="G977">
            <v>6.3240146958169749E-2</v>
          </cell>
          <cell r="H977">
            <v>1.8439396516509679E-2</v>
          </cell>
          <cell r="I977">
            <v>3.828358540575282E-3</v>
          </cell>
          <cell r="J977">
            <v>3.9817867260955033E-3</v>
          </cell>
        </row>
        <row r="978">
          <cell r="A978" t="str">
            <v>SCOM-SHSOLBR</v>
          </cell>
          <cell r="B978" t="str">
            <v>VAR_fout</v>
          </cell>
          <cell r="C978" t="str">
            <v>SCOM-SHASOL</v>
          </cell>
          <cell r="D978">
            <v>0.62699637824958021</v>
          </cell>
          <cell r="E978">
            <v>0.68733688927713943</v>
          </cell>
          <cell r="F978">
            <v>0.52379311326975142</v>
          </cell>
          <cell r="G978">
            <v>0.61029278424826483</v>
          </cell>
          <cell r="H978">
            <v>0.68114640909006241</v>
          </cell>
          <cell r="I978">
            <v>0.73462712805113872</v>
          </cell>
          <cell r="J978">
            <v>0.87740753722043252</v>
          </cell>
        </row>
        <row r="979">
          <cell r="A979" t="str">
            <v>SCOM-SHSOLBR</v>
          </cell>
          <cell r="B979" t="str">
            <v>VAR_fin</v>
          </cell>
          <cell r="C979" t="str">
            <v>SOL</v>
          </cell>
          <cell r="D979">
            <v>0.62699637824958021</v>
          </cell>
          <cell r="E979">
            <v>0.68733688927713943</v>
          </cell>
          <cell r="F979">
            <v>0.52379311326975142</v>
          </cell>
          <cell r="G979">
            <v>0.61029278424826483</v>
          </cell>
          <cell r="H979">
            <v>0.68114640909006241</v>
          </cell>
          <cell r="I979">
            <v>0.73462712805113872</v>
          </cell>
          <cell r="J979">
            <v>0.87740753722043252</v>
          </cell>
        </row>
        <row r="980">
          <cell r="A980" t="str">
            <v>SCOM-SHSOLBR</v>
          </cell>
          <cell r="B980" t="str">
            <v>VAR_ncap</v>
          </cell>
          <cell r="C980" t="str">
            <v>-</v>
          </cell>
          <cell r="D980">
            <v>6.4321473865975E-6</v>
          </cell>
          <cell r="E980">
            <v>8.7585544279013602E-3</v>
          </cell>
          <cell r="F980">
            <v>8.11669535180759E-8</v>
          </cell>
          <cell r="G980">
            <v>1.5526564342367001E-7</v>
          </cell>
          <cell r="H980">
            <v>7.0831543722400206E-2</v>
          </cell>
          <cell r="I980">
            <v>3.5868435292721601E-2</v>
          </cell>
          <cell r="J980">
            <v>7.1699998314647004E-2</v>
          </cell>
        </row>
        <row r="981">
          <cell r="A981" t="str">
            <v>SCOM-SHSOLBR</v>
          </cell>
          <cell r="B981" t="str">
            <v>VAR_cap</v>
          </cell>
          <cell r="C981" t="str">
            <v>-</v>
          </cell>
          <cell r="D981">
            <v>9.1064025623466105E-2</v>
          </cell>
          <cell r="E981">
            <v>9.9822557981943699E-2</v>
          </cell>
          <cell r="F981">
            <v>9.9822089946768569E-2</v>
          </cell>
          <cell r="G981">
            <v>9.9822097790525741E-2</v>
          </cell>
          <cell r="H981">
            <v>9.8934884655411851E-2</v>
          </cell>
          <cell r="I981">
            <v>0.10669992608485171</v>
          </cell>
          <cell r="J981">
            <v>0.12769220717863292</v>
          </cell>
        </row>
        <row r="982">
          <cell r="A982" t="str">
            <v>RHEM-SHSTG-ELCHP</v>
          </cell>
          <cell r="B982" t="str">
            <v>VAR_fout</v>
          </cell>
          <cell r="C982" t="str">
            <v>RHEM-SHAELCH</v>
          </cell>
          <cell r="D982">
            <v>1.7841777926585694</v>
          </cell>
          <cell r="E982">
            <v>1.9098363006989527</v>
          </cell>
          <cell r="F982">
            <v>1.7905803072630864</v>
          </cell>
          <cell r="G982">
            <v>2.1908128152647155</v>
          </cell>
          <cell r="H982">
            <v>2.3575617584146586</v>
          </cell>
          <cell r="I982">
            <v>2.9069887478412424</v>
          </cell>
          <cell r="J982">
            <v>3.5924080630790085</v>
          </cell>
        </row>
        <row r="983">
          <cell r="A983" t="str">
            <v>RHEM-SHSTG-ELCHP</v>
          </cell>
          <cell r="B983" t="str">
            <v>VAR_fout</v>
          </cell>
          <cell r="C983" t="str">
            <v>AUX_RHEM-SHSTG-ELCHP_OUT</v>
          </cell>
          <cell r="D983">
            <v>1.785961970451228</v>
          </cell>
          <cell r="E983">
            <v>1.9117461369996511</v>
          </cell>
          <cell r="F983">
            <v>1.792370887570349</v>
          </cell>
          <cell r="G983">
            <v>2.1930036280799792</v>
          </cell>
          <cell r="H983">
            <v>2.3599193201730739</v>
          </cell>
          <cell r="I983">
            <v>2.9098957365890827</v>
          </cell>
          <cell r="J983">
            <v>3.596000471142085</v>
          </cell>
        </row>
        <row r="984">
          <cell r="A984" t="str">
            <v>RHEM-SHSTG-ELCHP</v>
          </cell>
          <cell r="B984" t="str">
            <v>VAR_fin</v>
          </cell>
          <cell r="C984" t="str">
            <v>RHEM-SHAELCH</v>
          </cell>
          <cell r="D984">
            <v>1.7841872238498737</v>
          </cell>
          <cell r="E984">
            <v>1.9098391794749294</v>
          </cell>
          <cell r="F984">
            <v>1.790581569752508</v>
          </cell>
          <cell r="G984">
            <v>2.1908144626167854</v>
          </cell>
          <cell r="H984">
            <v>2.3575636017673998</v>
          </cell>
          <cell r="I984">
            <v>2.9069910690753047</v>
          </cell>
          <cell r="J984">
            <v>3.5924105146957124</v>
          </cell>
        </row>
        <row r="985">
          <cell r="A985" t="str">
            <v>RHEM-SHSTG-ELCHP</v>
          </cell>
          <cell r="B985" t="str">
            <v>VAR_ncap</v>
          </cell>
          <cell r="C985" t="str">
            <v>-</v>
          </cell>
          <cell r="D985">
            <v>0.193511642324111</v>
          </cell>
          <cell r="E985">
            <v>1.46731136221265E-4</v>
          </cell>
          <cell r="F985">
            <v>1.36416786643337E-5</v>
          </cell>
          <cell r="G985">
            <v>2.6105086418906999E-2</v>
          </cell>
          <cell r="H985">
            <v>0.18137826088971301</v>
          </cell>
          <cell r="I985">
            <v>9.1017907701382406E-2</v>
          </cell>
          <cell r="J985">
            <v>0.21577826546120399</v>
          </cell>
        </row>
        <row r="986">
          <cell r="A986" t="str">
            <v>RHEM-SHSTG-ELCHP</v>
          </cell>
          <cell r="B986" t="str">
            <v>VAR_cap</v>
          </cell>
          <cell r="C986" t="str">
            <v>-</v>
          </cell>
          <cell r="D986">
            <v>0.193511642324111</v>
          </cell>
          <cell r="E986">
            <v>0.19365045487940874</v>
          </cell>
          <cell r="F986">
            <v>0.19365001125334652</v>
          </cell>
          <cell r="G986">
            <v>0.21974987632713289</v>
          </cell>
          <cell r="H986">
            <v>0.25771355932258466</v>
          </cell>
          <cell r="I986">
            <v>0.29020958324421897</v>
          </cell>
          <cell r="J986">
            <v>0.35853730176644022</v>
          </cell>
        </row>
        <row r="987">
          <cell r="A987" t="str">
            <v>ITOT-SWHELCBR</v>
          </cell>
          <cell r="B987" t="str">
            <v>VAR_fout</v>
          </cell>
          <cell r="C987" t="str">
            <v>ITOT-SWHAELC</v>
          </cell>
          <cell r="D987">
            <v>9.8138948399438988</v>
          </cell>
          <cell r="E987">
            <v>10.33508315108238</v>
          </cell>
          <cell r="F987">
            <v>10.576617256713416</v>
          </cell>
          <cell r="G987">
            <v>10.937121345826959</v>
          </cell>
          <cell r="H987">
            <v>10.937122784669446</v>
          </cell>
          <cell r="I987">
            <v>10.937122961543103</v>
          </cell>
          <cell r="J987">
            <v>10.9371234412876</v>
          </cell>
        </row>
        <row r="988">
          <cell r="A988" t="str">
            <v>ITOT-SWHELCBR</v>
          </cell>
          <cell r="B988" t="str">
            <v>VAR_fin</v>
          </cell>
          <cell r="C988" t="str">
            <v>ITOT_ELC</v>
          </cell>
          <cell r="D988">
            <v>11.646944142451014</v>
          </cell>
          <cell r="E988">
            <v>12.258978194772004</v>
          </cell>
          <cell r="F988">
            <v>12.535506085223158</v>
          </cell>
          <cell r="G988">
            <v>12.945635257265986</v>
          </cell>
          <cell r="H988">
            <v>12.928538584750244</v>
          </cell>
          <cell r="I988">
            <v>12.911485524869883</v>
          </cell>
          <cell r="J988">
            <v>12.877514160436796</v>
          </cell>
        </row>
        <row r="989">
          <cell r="A989" t="str">
            <v>ITOT-SWHELCBR</v>
          </cell>
          <cell r="B989" t="str">
            <v>VAR_ncap</v>
          </cell>
          <cell r="C989" t="str">
            <v>-</v>
          </cell>
          <cell r="E989">
            <v>0.20275052048390199</v>
          </cell>
          <cell r="F989">
            <v>3.10817300720851E-2</v>
          </cell>
          <cell r="G989">
            <v>7.2402965627215696E-2</v>
          </cell>
          <cell r="H989">
            <v>0.49429937054615503</v>
          </cell>
          <cell r="I989">
            <v>0.404631510848804</v>
          </cell>
          <cell r="J989">
            <v>0.36733475650727199</v>
          </cell>
        </row>
        <row r="990">
          <cell r="A990" t="str">
            <v>ITOT-SWHELCBR</v>
          </cell>
          <cell r="B990" t="str">
            <v>VAR_cap</v>
          </cell>
          <cell r="C990" t="str">
            <v>-</v>
          </cell>
          <cell r="D990">
            <v>0.55644997413134401</v>
          </cell>
          <cell r="E990">
            <v>0.75919905571104529</v>
          </cell>
          <cell r="F990">
            <v>0.7902778294682764</v>
          </cell>
          <cell r="G990">
            <v>0.86267652377694004</v>
          </cell>
          <cell r="H990">
            <v>0.84594735971610779</v>
          </cell>
          <cell r="I990">
            <v>0.95387452894029068</v>
          </cell>
          <cell r="J990">
            <v>0.87007140834864349</v>
          </cell>
        </row>
        <row r="991">
          <cell r="A991"/>
          <cell r="B991"/>
          <cell r="C991"/>
        </row>
        <row r="992">
          <cell r="A992"/>
          <cell r="B992"/>
          <cell r="C992"/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/>
          <cell r="B1001"/>
          <cell r="C1001"/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/>
          <cell r="B1010"/>
          <cell r="C1010"/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7200.7899195876498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H5">
            <v>7200.7899195876498</v>
          </cell>
        </row>
        <row r="6">
          <cell r="B6" t="str">
            <v>CO2_R</v>
          </cell>
          <cell r="C6" t="str">
            <v>VAR_fout</v>
          </cell>
          <cell r="D6" t="str">
            <v>RHNM-SHLFOBR</v>
          </cell>
          <cell r="F6">
            <v>3.4996431372097902E-4</v>
          </cell>
          <cell r="G6">
            <v>7.7801405904950904</v>
          </cell>
          <cell r="H6">
            <v>11.8878124540537</v>
          </cell>
        </row>
        <row r="7">
          <cell r="B7" t="str">
            <v>CO2_R</v>
          </cell>
          <cell r="C7" t="str">
            <v>VAR_fout</v>
          </cell>
          <cell r="D7" t="str">
            <v>RHNS-SHNGAHP</v>
          </cell>
          <cell r="G7">
            <v>4.8678653274158297</v>
          </cell>
          <cell r="H7">
            <v>15.501856414916899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3.0595427637297998</v>
          </cell>
          <cell r="F8">
            <v>0.100408145082319</v>
          </cell>
          <cell r="G8">
            <v>0.37016360767736001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E9">
            <v>1127.9631648260799</v>
          </cell>
          <cell r="F9">
            <v>1131.3649396560199</v>
          </cell>
          <cell r="G9">
            <v>1305.2008563034799</v>
          </cell>
          <cell r="H9">
            <v>1100.53904271178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G10">
            <v>25.2881115177378</v>
          </cell>
          <cell r="H10">
            <v>57.027037713197601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E11">
            <v>1928.7106558722201</v>
          </cell>
          <cell r="F11">
            <v>1529.47384025512</v>
          </cell>
          <cell r="G11">
            <v>1794.75051452002</v>
          </cell>
          <cell r="H11">
            <v>1192.29520926604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G12">
            <v>62.822685064225098</v>
          </cell>
          <cell r="H12">
            <v>118.70994680873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F13">
            <v>6.0644357272083198</v>
          </cell>
          <cell r="G13">
            <v>3.2511402088477701</v>
          </cell>
          <cell r="H13">
            <v>6.6602520369437004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F14">
            <v>1.13751059739005E-3</v>
          </cell>
          <cell r="G14">
            <v>3.2289257860638401</v>
          </cell>
          <cell r="H14">
            <v>4.9913347207402401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0.237960765218451</v>
          </cell>
          <cell r="G15">
            <v>0.311509712054099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6.7118828955208798</v>
          </cell>
          <cell r="H16">
            <v>19.553648811536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1043.1351539852501</v>
          </cell>
          <cell r="F17">
            <v>1118.51232911796</v>
          </cell>
          <cell r="G17">
            <v>662.27993071869105</v>
          </cell>
          <cell r="H17">
            <v>545.11286036191996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479.80993789833701</v>
          </cell>
          <cell r="F18">
            <v>385.32684184690299</v>
          </cell>
          <cell r="G18">
            <v>575.71248734760798</v>
          </cell>
          <cell r="H18">
            <v>454.91646823493898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726.71233880881096</v>
          </cell>
          <cell r="F19">
            <v>611.83978968743895</v>
          </cell>
          <cell r="G19">
            <v>683.86181054192105</v>
          </cell>
          <cell r="H19">
            <v>434.66293770929002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1783.6627964122099</v>
          </cell>
          <cell r="F20">
            <v>1640.9695176927601</v>
          </cell>
          <cell r="G20">
            <v>1268.43626846142</v>
          </cell>
          <cell r="H20">
            <v>812.78237537771997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8.0318402226472296E-2</v>
          </cell>
          <cell r="G21">
            <v>0.125045556235415</v>
          </cell>
        </row>
        <row r="22">
          <cell r="B22" t="str">
            <v>CO2_R</v>
          </cell>
          <cell r="C22" t="str">
            <v>VAR_fout</v>
          </cell>
          <cell r="D22" t="str">
            <v>RHEM-CHPNGA</v>
          </cell>
          <cell r="E22">
            <v>5.6783029565253296</v>
          </cell>
          <cell r="F22">
            <v>5.81116854488644E-2</v>
          </cell>
          <cell r="G22">
            <v>0.25951010159096799</v>
          </cell>
        </row>
        <row r="23">
          <cell r="B23" t="str">
            <v>CO2_R</v>
          </cell>
          <cell r="C23" t="str">
            <v>VAR_fout</v>
          </cell>
          <cell r="D23" t="str">
            <v>RHES-SHCOABR</v>
          </cell>
          <cell r="E23">
            <v>9.2700810955579893</v>
          </cell>
          <cell r="F23">
            <v>9.27005946500765</v>
          </cell>
          <cell r="G23">
            <v>2.4985699249556999</v>
          </cell>
          <cell r="H23">
            <v>0.561906252020832</v>
          </cell>
        </row>
        <row r="24">
          <cell r="B24" t="str">
            <v>CO2_R</v>
          </cell>
          <cell r="C24" t="str">
            <v>VAR_fout</v>
          </cell>
          <cell r="D24" t="str">
            <v>RHEM-SHNGAHP</v>
          </cell>
          <cell r="G24">
            <v>59.410593094646799</v>
          </cell>
          <cell r="H24">
            <v>122.83748799396299</v>
          </cell>
        </row>
        <row r="25">
          <cell r="B25" t="str">
            <v>CO2_R</v>
          </cell>
          <cell r="C25" t="str">
            <v>VAR_fout</v>
          </cell>
          <cell r="D25" t="str">
            <v>RHNM-SHNGABR</v>
          </cell>
          <cell r="F25">
            <v>43.098996700610499</v>
          </cell>
          <cell r="G25">
            <v>9.5508830340998507</v>
          </cell>
          <cell r="H25">
            <v>16.196978724138798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7108.0019746187199</v>
          </cell>
          <cell r="F26">
            <v>6476.3990366219195</v>
          </cell>
          <cell r="G26">
            <v>6476.7188943147103</v>
          </cell>
          <cell r="H26">
            <v>4914.2371555919399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50.887986972670298</v>
          </cell>
          <cell r="H27">
            <v>99.369220582829499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93.3577712244346</v>
          </cell>
          <cell r="F28">
            <v>98.053322197431498</v>
          </cell>
          <cell r="G28">
            <v>2.3960071960436502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1440.9459833399401</v>
          </cell>
          <cell r="F29">
            <v>1508.68769510365</v>
          </cell>
          <cell r="G29">
            <v>1354.3988583468399</v>
          </cell>
          <cell r="H29">
            <v>1179.9880889321</v>
          </cell>
        </row>
        <row r="30">
          <cell r="B30" t="str">
            <v>CO2_S</v>
          </cell>
          <cell r="C30" t="str">
            <v>VAR_fout</v>
          </cell>
          <cell r="D30" t="str">
            <v>SCOM-SHLFOBR</v>
          </cell>
          <cell r="E30">
            <v>2229.91392988712</v>
          </cell>
          <cell r="F30">
            <v>1945.70741851398</v>
          </cell>
          <cell r="G30">
            <v>1994.1581622514</v>
          </cell>
          <cell r="H30">
            <v>1441.3650257311299</v>
          </cell>
        </row>
        <row r="31">
          <cell r="B31" t="str">
            <v>CO2_S</v>
          </cell>
          <cell r="C31" t="str">
            <v>VAR_comnet</v>
          </cell>
          <cell r="D31" t="str">
            <v>-</v>
          </cell>
          <cell r="E31">
            <v>3764.2176844515002</v>
          </cell>
          <cell r="F31">
            <v>3552.4484358150598</v>
          </cell>
          <cell r="G31">
            <v>3401.8410147669501</v>
          </cell>
          <cell r="H31">
            <v>2720.7223352460601</v>
          </cell>
        </row>
        <row r="32">
          <cell r="B32" t="str">
            <v>CO2_T</v>
          </cell>
          <cell r="C32" t="str">
            <v>VAR_fout</v>
          </cell>
          <cell r="D32" t="str">
            <v>T_B_u-ICENGAEXT</v>
          </cell>
          <cell r="E32">
            <v>1.7874193020961399E-2</v>
          </cell>
          <cell r="F32">
            <v>1.78809044397308E-2</v>
          </cell>
          <cell r="G32">
            <v>1.78230608348969E-2</v>
          </cell>
        </row>
        <row r="33">
          <cell r="B33" t="str">
            <v>CO2_T</v>
          </cell>
          <cell r="C33" t="str">
            <v>VAR_fout</v>
          </cell>
          <cell r="D33" t="str">
            <v>TFHGV-ICENGA</v>
          </cell>
          <cell r="E33">
            <v>3.5369432570640189</v>
          </cell>
          <cell r="F33">
            <v>0.22953966408206086</v>
          </cell>
          <cell r="G33">
            <v>0.32036272725501241</v>
          </cell>
          <cell r="H33">
            <v>0.30688233180518387</v>
          </cell>
        </row>
        <row r="34">
          <cell r="B34" t="str">
            <v>CO2_T</v>
          </cell>
          <cell r="C34" t="str">
            <v>VAR_fout</v>
          </cell>
          <cell r="D34" t="str">
            <v>T-Plg-GSL-mix_S1</v>
          </cell>
          <cell r="E34">
            <v>2.1959459903209501E-2</v>
          </cell>
          <cell r="F34">
            <v>4.5117849806708896E-2</v>
          </cell>
          <cell r="G34">
            <v>4.3953603047767201E-2</v>
          </cell>
          <cell r="H34">
            <v>4.2646428325660221E-2</v>
          </cell>
        </row>
        <row r="35">
          <cell r="B35" t="str">
            <v>CO2_T</v>
          </cell>
          <cell r="C35" t="str">
            <v>VAR_fout</v>
          </cell>
          <cell r="D35" t="str">
            <v>T-Plg-GSL-mix_S2</v>
          </cell>
          <cell r="E35">
            <v>5.5812966238292701</v>
          </cell>
          <cell r="F35">
            <v>10.909546758327501</v>
          </cell>
          <cell r="G35">
            <v>10.236726641542655</v>
          </cell>
          <cell r="H35">
            <v>7.5052581511581646</v>
          </cell>
        </row>
        <row r="36">
          <cell r="B36" t="str">
            <v>CO2_T</v>
          </cell>
          <cell r="C36" t="str">
            <v>VAR_fout</v>
          </cell>
          <cell r="D36" t="str">
            <v>T-Plg-GSL-mix_S3</v>
          </cell>
          <cell r="E36">
            <v>7.3158778479884603</v>
          </cell>
          <cell r="F36">
            <v>69.339713200270211</v>
          </cell>
          <cell r="G36">
            <v>130.85250553796772</v>
          </cell>
          <cell r="H36">
            <v>477.33982602168794</v>
          </cell>
        </row>
        <row r="37">
          <cell r="B37" t="str">
            <v>CO2_T</v>
          </cell>
          <cell r="C37" t="str">
            <v>VAR_fout</v>
          </cell>
          <cell r="D37" t="str">
            <v>T-Plg-GSL-mix_S4</v>
          </cell>
          <cell r="E37">
            <v>12.9186857848784</v>
          </cell>
          <cell r="F37">
            <v>19.233249375029672</v>
          </cell>
          <cell r="G37">
            <v>17.838002447191251</v>
          </cell>
          <cell r="H37">
            <v>12.65683225483393</v>
          </cell>
        </row>
        <row r="38">
          <cell r="B38" t="str">
            <v>CO2_T</v>
          </cell>
          <cell r="C38" t="str">
            <v>VAR_fout</v>
          </cell>
          <cell r="D38" t="str">
            <v>TFLGV-HYBDSL</v>
          </cell>
          <cell r="F38">
            <v>31.589846597102099</v>
          </cell>
          <cell r="G38">
            <v>104.92024431584279</v>
          </cell>
          <cell r="H38">
            <v>277.67315265799527</v>
          </cell>
        </row>
        <row r="39">
          <cell r="B39" t="str">
            <v>CO2_T</v>
          </cell>
          <cell r="C39" t="str">
            <v>VAR_fout</v>
          </cell>
          <cell r="D39" t="str">
            <v>TFLGV-ICEGSLExt</v>
          </cell>
          <cell r="E39">
            <v>61.391431278586502</v>
          </cell>
          <cell r="F39">
            <v>130.27542744483</v>
          </cell>
          <cell r="G39">
            <v>39.987017062244497</v>
          </cell>
          <cell r="H39">
            <v>19.989402097319498</v>
          </cell>
        </row>
        <row r="40">
          <cell r="B40" t="str">
            <v>CO2_T</v>
          </cell>
          <cell r="C40" t="str">
            <v>VAR_fout</v>
          </cell>
          <cell r="D40" t="str">
            <v>TFLGV-ICEDSLExt</v>
          </cell>
          <cell r="E40">
            <v>788.81846734554995</v>
          </cell>
          <cell r="F40">
            <v>545.26461919408302</v>
          </cell>
          <cell r="G40">
            <v>399.54509585274798</v>
          </cell>
          <cell r="H40">
            <v>199.765850709153</v>
          </cell>
        </row>
        <row r="41">
          <cell r="B41" t="str">
            <v>CO2_T</v>
          </cell>
          <cell r="C41" t="str">
            <v>VAR_fout</v>
          </cell>
          <cell r="D41" t="str">
            <v>T_C-ICE-NGA-S1</v>
          </cell>
          <cell r="E41">
            <v>0.21077709932614919</v>
          </cell>
          <cell r="F41">
            <v>0.11869725125449089</v>
          </cell>
          <cell r="G41">
            <v>9.0543257257389154E-2</v>
          </cell>
          <cell r="H41">
            <v>7.6451807012294535E-3</v>
          </cell>
        </row>
        <row r="42">
          <cell r="B42" t="str">
            <v>CO2_T</v>
          </cell>
          <cell r="C42" t="str">
            <v>VAR_fout</v>
          </cell>
          <cell r="D42" t="str">
            <v>T_C-ICE-NGA-S2</v>
          </cell>
          <cell r="E42">
            <v>3.1620059822824338</v>
          </cell>
          <cell r="F42">
            <v>2.4865738065922454</v>
          </cell>
          <cell r="G42">
            <v>2.4697669312490551</v>
          </cell>
          <cell r="H42">
            <v>1.2467241461788842E-2</v>
          </cell>
        </row>
        <row r="43">
          <cell r="B43" t="str">
            <v>CO2_T</v>
          </cell>
          <cell r="C43" t="str">
            <v>VAR_fout</v>
          </cell>
          <cell r="D43" t="str">
            <v>TFLGV-ICEDSL</v>
          </cell>
          <cell r="E43">
            <v>326.24076767386612</v>
          </cell>
          <cell r="F43">
            <v>384.72035758243425</v>
          </cell>
          <cell r="G43">
            <v>384.58745768627944</v>
          </cell>
          <cell r="H43">
            <v>152.76136501295721</v>
          </cell>
        </row>
        <row r="44">
          <cell r="B44" t="str">
            <v>CO2_T</v>
          </cell>
          <cell r="C44" t="str">
            <v>VAR_fout</v>
          </cell>
          <cell r="D44" t="str">
            <v>T_C-ICE-NGA-S3</v>
          </cell>
          <cell r="E44">
            <v>0.25350245335459631</v>
          </cell>
          <cell r="F44">
            <v>0.21052584373364303</v>
          </cell>
          <cell r="G44">
            <v>0.27286635541045129</v>
          </cell>
          <cell r="H44">
            <v>3.1049018110851118E-2</v>
          </cell>
        </row>
        <row r="45">
          <cell r="B45" t="str">
            <v>CO2_T</v>
          </cell>
          <cell r="C45" t="str">
            <v>VAR_fout</v>
          </cell>
          <cell r="D45" t="str">
            <v>T_C-ICE-NGA-S4</v>
          </cell>
          <cell r="E45">
            <v>2.7314255823406008</v>
          </cell>
          <cell r="F45">
            <v>2.6591169681759688</v>
          </cell>
          <cell r="G45">
            <v>2.4759398299072801</v>
          </cell>
          <cell r="H45">
            <v>8.2584061075094174E-3</v>
          </cell>
        </row>
        <row r="46">
          <cell r="B46" t="str">
            <v>CO2_T</v>
          </cell>
          <cell r="C46" t="str">
            <v>VAR_fout</v>
          </cell>
          <cell r="D46" t="str">
            <v>T_C-MHY-GSL-S1</v>
          </cell>
          <cell r="F46">
            <v>9.8783768634154601E-3</v>
          </cell>
          <cell r="G46">
            <v>3.4925860096767361E-2</v>
          </cell>
          <cell r="H46">
            <v>22.279648850688066</v>
          </cell>
        </row>
        <row r="47">
          <cell r="B47" t="str">
            <v>CO2_T</v>
          </cell>
          <cell r="C47" t="str">
            <v>VAR_fout</v>
          </cell>
          <cell r="D47" t="str">
            <v>T_C-MHY-GSL-S2</v>
          </cell>
          <cell r="F47">
            <v>6.9557279646037902E-3</v>
          </cell>
          <cell r="G47">
            <v>3.084814275057296E-2</v>
          </cell>
          <cell r="H47">
            <v>5.1207420230650939E-2</v>
          </cell>
        </row>
        <row r="48">
          <cell r="B48" t="str">
            <v>CO2_T</v>
          </cell>
          <cell r="C48" t="str">
            <v>VAR_fout</v>
          </cell>
          <cell r="D48" t="str">
            <v>T_C-MHY-DSL-S1</v>
          </cell>
          <cell r="F48">
            <v>8.5735003962702297E-3</v>
          </cell>
          <cell r="G48">
            <v>2.7241159821653059E-2</v>
          </cell>
          <cell r="H48">
            <v>14.642209827298984</v>
          </cell>
        </row>
        <row r="49">
          <cell r="B49" t="str">
            <v>CO2_T</v>
          </cell>
          <cell r="C49" t="str">
            <v>VAR_fout</v>
          </cell>
          <cell r="D49" t="str">
            <v>T_C-MHY-GSL-S3</v>
          </cell>
          <cell r="F49">
            <v>8.8856414590983996E-3</v>
          </cell>
          <cell r="G49">
            <v>3.4054425643575706E-2</v>
          </cell>
          <cell r="H49">
            <v>5.2857087308025172E-2</v>
          </cell>
        </row>
        <row r="50">
          <cell r="B50" t="str">
            <v>CO2_T</v>
          </cell>
          <cell r="C50" t="str">
            <v>VAR_fout</v>
          </cell>
          <cell r="D50" t="str">
            <v>T_C-MHY-DSL-S2</v>
          </cell>
          <cell r="F50">
            <v>6.1046737860193699E-3</v>
          </cell>
          <cell r="G50">
            <v>2.5309021966926231E-2</v>
          </cell>
          <cell r="H50">
            <v>4.6436619124181192E-2</v>
          </cell>
        </row>
        <row r="51">
          <cell r="B51" t="str">
            <v>CO2_T</v>
          </cell>
          <cell r="C51" t="str">
            <v>VAR_fout</v>
          </cell>
          <cell r="D51" t="str">
            <v>T_C-MHY-GSL-S4</v>
          </cell>
          <cell r="F51">
            <v>1.0778632376600599E-2</v>
          </cell>
          <cell r="G51">
            <v>4.8146169941521509E-2</v>
          </cell>
          <cell r="H51">
            <v>8.1364311453576116E-2</v>
          </cell>
        </row>
        <row r="52">
          <cell r="B52" t="str">
            <v>CO2_T</v>
          </cell>
          <cell r="C52" t="str">
            <v>VAR_fout</v>
          </cell>
          <cell r="D52" t="str">
            <v>T_C-MHY-DSL-S3</v>
          </cell>
          <cell r="F52">
            <v>7.5241275757964004E-3</v>
          </cell>
          <cell r="G52">
            <v>2.6688962546410878E-2</v>
          </cell>
          <cell r="H52">
            <v>4.3476321753419547E-2</v>
          </cell>
        </row>
        <row r="53">
          <cell r="B53" t="str">
            <v>CO2_T</v>
          </cell>
          <cell r="C53" t="str">
            <v>VAR_fout</v>
          </cell>
          <cell r="D53" t="str">
            <v>T_B_c-HYBDSL-S1</v>
          </cell>
          <cell r="F53">
            <v>0.194879529895539</v>
          </cell>
          <cell r="G53">
            <v>0.21039043651251529</v>
          </cell>
          <cell r="H53">
            <v>3.5601160748602249E-2</v>
          </cell>
        </row>
        <row r="54">
          <cell r="B54" t="str">
            <v>CO2_T</v>
          </cell>
          <cell r="C54" t="str">
            <v>VAR_fout</v>
          </cell>
          <cell r="D54" t="str">
            <v>T_C-MHY-DSL-S4</v>
          </cell>
          <cell r="F54">
            <v>5.6491801914794904E-3</v>
          </cell>
          <cell r="G54">
            <v>1.5810774148893321E-2</v>
          </cell>
          <cell r="H54">
            <v>2.330115234074424E-2</v>
          </cell>
        </row>
        <row r="55">
          <cell r="B55" t="str">
            <v>CO2_T</v>
          </cell>
          <cell r="C55" t="str">
            <v>VAR_fout</v>
          </cell>
          <cell r="D55" t="str">
            <v>T_B_c-HYBDSL-S2</v>
          </cell>
          <cell r="F55">
            <v>1.18642102182317E-2</v>
          </cell>
          <cell r="G55">
            <v>4.6138164950285097</v>
          </cell>
          <cell r="H55">
            <v>19.725068637634791</v>
          </cell>
        </row>
        <row r="56">
          <cell r="B56" t="str">
            <v>CO2_T</v>
          </cell>
          <cell r="C56" t="str">
            <v>VAR_fout</v>
          </cell>
          <cell r="D56" t="str">
            <v>T_B_c-HYBDSL-S3</v>
          </cell>
          <cell r="F56">
            <v>7.4099658706380401E-3</v>
          </cell>
          <cell r="G56">
            <v>0.27836426195156477</v>
          </cell>
          <cell r="H56">
            <v>10.054001058794768</v>
          </cell>
        </row>
        <row r="57">
          <cell r="B57" t="str">
            <v>CO2_T</v>
          </cell>
          <cell r="C57" t="str">
            <v>VAR_fout</v>
          </cell>
          <cell r="D57" t="str">
            <v>T_B_c-HYBDSL-S4</v>
          </cell>
          <cell r="F57">
            <v>1.2068244798359301E-4</v>
          </cell>
          <cell r="G57">
            <v>3.0668688149930901E-4</v>
          </cell>
          <cell r="H57">
            <v>5.0291365389962797E-5</v>
          </cell>
        </row>
        <row r="58">
          <cell r="B58" t="str">
            <v>CO2_T</v>
          </cell>
          <cell r="C58" t="str">
            <v>VAR_fout</v>
          </cell>
          <cell r="D58" t="str">
            <v>TFHGV-ICEDSLExt</v>
          </cell>
          <cell r="E58">
            <v>1410.2252884373099</v>
          </cell>
          <cell r="F58">
            <v>1140.47440992826</v>
          </cell>
          <cell r="G58">
            <v>841.07101272489297</v>
          </cell>
          <cell r="H58">
            <v>362.73137200137899</v>
          </cell>
        </row>
        <row r="59">
          <cell r="B59" t="str">
            <v>CO2_T</v>
          </cell>
          <cell r="C59" t="str">
            <v>VAR_fout</v>
          </cell>
          <cell r="D59" t="str">
            <v>TPSHPGSLEXT</v>
          </cell>
          <cell r="E59">
            <v>129.873812963153</v>
          </cell>
          <cell r="F59">
            <v>51.480425438451803</v>
          </cell>
          <cell r="G59">
            <v>1.79115607071575E-3</v>
          </cell>
          <cell r="H59">
            <v>1.7040133626029801E-3</v>
          </cell>
        </row>
        <row r="60">
          <cell r="B60" t="str">
            <v>CO2_T</v>
          </cell>
          <cell r="C60" t="str">
            <v>VAR_fout</v>
          </cell>
          <cell r="D60" t="str">
            <v>T_TW-ICEGSL-S1</v>
          </cell>
          <cell r="E60">
            <v>3.2714761771960106</v>
          </cell>
          <cell r="F60">
            <v>12.912199993720849</v>
          </cell>
          <cell r="G60">
            <v>25.596091903785918</v>
          </cell>
          <cell r="H60">
            <v>45.097026644196973</v>
          </cell>
        </row>
        <row r="61">
          <cell r="B61" t="str">
            <v>CO2_T</v>
          </cell>
          <cell r="C61" t="str">
            <v>VAR_fout</v>
          </cell>
          <cell r="D61" t="str">
            <v>TPSHPDSLEXT</v>
          </cell>
          <cell r="E61">
            <v>1273.9831592043399</v>
          </cell>
          <cell r="F61">
            <v>1273.98329523661</v>
          </cell>
          <cell r="G61">
            <v>1256.10458942433</v>
          </cell>
          <cell r="H61">
            <v>1191.32665874944</v>
          </cell>
        </row>
        <row r="62">
          <cell r="B62" t="str">
            <v>CO2_T</v>
          </cell>
          <cell r="C62" t="str">
            <v>VAR_fout</v>
          </cell>
          <cell r="D62" t="str">
            <v>T_TW-ICEGSL-S2</v>
          </cell>
          <cell r="E62">
            <v>8.3011454031531997</v>
          </cell>
          <cell r="F62">
            <v>12.02151449517565</v>
          </cell>
          <cell r="G62">
            <v>12.024555781657844</v>
          </cell>
          <cell r="H62">
            <v>7.4588277286231275</v>
          </cell>
        </row>
        <row r="63">
          <cell r="B63" t="str">
            <v>CO2_T</v>
          </cell>
          <cell r="C63" t="str">
            <v>VAR_fout</v>
          </cell>
          <cell r="D63" t="str">
            <v>T_TW-ICEGSL-S3</v>
          </cell>
          <cell r="E63">
            <v>11.50322721151101</v>
          </cell>
          <cell r="F63">
            <v>14.519977173759969</v>
          </cell>
          <cell r="G63">
            <v>14.596250003761465</v>
          </cell>
          <cell r="H63">
            <v>14.502266325532661</v>
          </cell>
        </row>
        <row r="64">
          <cell r="B64" t="str">
            <v>CO2_T</v>
          </cell>
          <cell r="C64" t="str">
            <v>VAR_fout</v>
          </cell>
          <cell r="D64" t="str">
            <v>T_C-ICEGSLEXT</v>
          </cell>
          <cell r="E64">
            <v>4722.2882178718601</v>
          </cell>
          <cell r="F64">
            <v>3812.9933394797099</v>
          </cell>
          <cell r="G64">
            <v>3094.5702918175102</v>
          </cell>
          <cell r="H64">
            <v>879.91601109974897</v>
          </cell>
        </row>
        <row r="65">
          <cell r="B65" t="str">
            <v>CO2_T</v>
          </cell>
          <cell r="C65" t="str">
            <v>VAR_fout</v>
          </cell>
          <cell r="D65" t="str">
            <v>T_TW-ICEGSL-S4</v>
          </cell>
          <cell r="E65">
            <v>7.5726349987070396</v>
          </cell>
          <cell r="F65">
            <v>9.2727708175229182</v>
          </cell>
          <cell r="G65">
            <v>9.3213580996825947</v>
          </cell>
          <cell r="H65">
            <v>9.2684929692561351</v>
          </cell>
        </row>
        <row r="66">
          <cell r="B66" t="str">
            <v>CO2_T</v>
          </cell>
          <cell r="C66" t="str">
            <v>VAR_fout</v>
          </cell>
          <cell r="D66" t="str">
            <v>T_C-ICEDSLEXT</v>
          </cell>
          <cell r="E66">
            <v>3821.2760259304</v>
          </cell>
          <cell r="F66">
            <v>3569.7775466826201</v>
          </cell>
          <cell r="G66">
            <v>2537.9775873806898</v>
          </cell>
          <cell r="H66">
            <v>1175.1387111832801</v>
          </cell>
        </row>
        <row r="67">
          <cell r="B67" t="str">
            <v>CO2_T</v>
          </cell>
          <cell r="C67" t="str">
            <v>VAR_fout</v>
          </cell>
          <cell r="D67" t="str">
            <v>T_TW-ICEGSLEXT</v>
          </cell>
          <cell r="E67">
            <v>147.13295930655201</v>
          </cell>
          <cell r="F67">
            <v>110.581735852211</v>
          </cell>
          <cell r="G67">
            <v>76.947275069056303</v>
          </cell>
          <cell r="H67">
            <v>33.433461619986197</v>
          </cell>
        </row>
        <row r="68">
          <cell r="B68" t="str">
            <v>CO2_T</v>
          </cell>
          <cell r="C68" t="str">
            <v>VAR_fout</v>
          </cell>
          <cell r="D68" t="str">
            <v>TFLGV-ICENGA</v>
          </cell>
          <cell r="E68">
            <v>1.4563847689666249</v>
          </cell>
          <cell r="F68">
            <v>1.2557510795566535</v>
          </cell>
          <cell r="G68">
            <v>1.7826009283275488</v>
          </cell>
          <cell r="H68">
            <v>6.2078567190180251E-3</v>
          </cell>
        </row>
        <row r="69">
          <cell r="B69" t="str">
            <v>CO2_T</v>
          </cell>
          <cell r="C69" t="str">
            <v>VAR_fout</v>
          </cell>
          <cell r="D69" t="str">
            <v>T_B_c-ICENGA-S1</v>
          </cell>
          <cell r="F69">
            <v>2.8178341254582202E-3</v>
          </cell>
          <cell r="G69">
            <v>1.343444288884311E-2</v>
          </cell>
        </row>
        <row r="70">
          <cell r="B70" t="str">
            <v>CO2_T</v>
          </cell>
          <cell r="C70" t="str">
            <v>VAR_fout</v>
          </cell>
          <cell r="D70" t="str">
            <v>T_B_c-ICENGA-S2</v>
          </cell>
          <cell r="F70">
            <v>1.30971344314156E-3</v>
          </cell>
          <cell r="G70">
            <v>9.7410169851088104E-3</v>
          </cell>
        </row>
        <row r="71">
          <cell r="B71" t="str">
            <v>CO2_T</v>
          </cell>
          <cell r="C71" t="str">
            <v>VAR_fout</v>
          </cell>
          <cell r="D71" t="str">
            <v>T_B_u-ICEDSL-S1</v>
          </cell>
          <cell r="E71">
            <v>1.9568752952993311E-2</v>
          </cell>
          <cell r="F71">
            <v>0.15030416376772104</v>
          </cell>
          <cell r="G71">
            <v>15.07475924331688</v>
          </cell>
          <cell r="H71">
            <v>2.97153889454099E-3</v>
          </cell>
        </row>
        <row r="72">
          <cell r="B72" t="str">
            <v>CO2_T</v>
          </cell>
          <cell r="C72" t="str">
            <v>VAR_fout</v>
          </cell>
          <cell r="D72" t="str">
            <v>T_B_c-ICENGA-S3</v>
          </cell>
          <cell r="F72">
            <v>9.03277138418202E-4</v>
          </cell>
          <cell r="G72">
            <v>6.2647972975740894E-3</v>
          </cell>
        </row>
        <row r="73">
          <cell r="B73" t="str">
            <v>CO2_T</v>
          </cell>
          <cell r="C73" t="str">
            <v>VAR_fout</v>
          </cell>
          <cell r="D73" t="str">
            <v>T_B_u-ICEDSL-S2</v>
          </cell>
          <cell r="E73">
            <v>8.1501668524608295</v>
          </cell>
          <cell r="F73">
            <v>9.9225951160471784</v>
          </cell>
          <cell r="G73">
            <v>16.234334548453177</v>
          </cell>
        </row>
        <row r="74">
          <cell r="B74" t="str">
            <v>CO2_T</v>
          </cell>
          <cell r="C74" t="str">
            <v>VAR_fout</v>
          </cell>
          <cell r="D74" t="str">
            <v>T_B_u-ICEDSL-S3</v>
          </cell>
          <cell r="E74">
            <v>44.792590057354062</v>
          </cell>
          <cell r="F74">
            <v>63.743218455106472</v>
          </cell>
          <cell r="G74">
            <v>63.759368744529446</v>
          </cell>
        </row>
        <row r="75">
          <cell r="B75" t="str">
            <v>CO2_T</v>
          </cell>
          <cell r="C75" t="str">
            <v>VAR_fout</v>
          </cell>
          <cell r="D75" t="str">
            <v>T_B_u-ICEDSL-S4</v>
          </cell>
          <cell r="E75">
            <v>0.20016394034960833</v>
          </cell>
          <cell r="G75">
            <v>1.4131747941756099E-3</v>
          </cell>
        </row>
        <row r="76">
          <cell r="B76" t="str">
            <v>CO2_T</v>
          </cell>
          <cell r="C76" t="str">
            <v>VAR_fout</v>
          </cell>
          <cell r="D76" t="str">
            <v>T_B_c-ICENGAEXT</v>
          </cell>
          <cell r="E76">
            <v>7.7879543815437E-3</v>
          </cell>
          <cell r="F76">
            <v>7.75851326361342E-3</v>
          </cell>
          <cell r="G76">
            <v>7.7022645735601199E-3</v>
          </cell>
        </row>
        <row r="77">
          <cell r="B77" t="str">
            <v>CO2_T</v>
          </cell>
          <cell r="C77" t="str">
            <v>VAR_fout</v>
          </cell>
          <cell r="D77" t="str">
            <v>T_B_u-ICEDSLEXT</v>
          </cell>
          <cell r="E77">
            <v>1.27103698329853</v>
          </cell>
          <cell r="F77">
            <v>1.2694188326498801</v>
          </cell>
          <cell r="G77">
            <v>1.2644547800575601</v>
          </cell>
        </row>
        <row r="78">
          <cell r="B78" t="str">
            <v>CO2_T</v>
          </cell>
          <cell r="C78" t="str">
            <v>VAR_fout</v>
          </cell>
          <cell r="D78" t="str">
            <v>T_C-HYBGSLEXT</v>
          </cell>
          <cell r="E78">
            <v>92.549422659254901</v>
          </cell>
          <cell r="F78">
            <v>91.724485391032701</v>
          </cell>
          <cell r="G78">
            <v>68.278605892806596</v>
          </cell>
          <cell r="H78">
            <v>32.395658075030198</v>
          </cell>
        </row>
        <row r="79">
          <cell r="B79" t="str">
            <v>CO2_T</v>
          </cell>
          <cell r="C79" t="str">
            <v>VAR_fout</v>
          </cell>
          <cell r="D79" t="str">
            <v>TPAVDKEREXT</v>
          </cell>
          <cell r="E79">
            <v>79.576349423418094</v>
          </cell>
          <cell r="F79">
            <v>100.796237247683</v>
          </cell>
          <cell r="G79">
            <v>132.626068984081</v>
          </cell>
          <cell r="H79">
            <v>185.675788544743</v>
          </cell>
        </row>
        <row r="80">
          <cell r="B80" t="str">
            <v>CO2_T</v>
          </cell>
          <cell r="C80" t="str">
            <v>VAR_fout</v>
          </cell>
          <cell r="D80" t="str">
            <v>T_C-ICE-GSL-S1</v>
          </cell>
          <cell r="E80">
            <v>36.545527261512312</v>
          </cell>
          <cell r="F80">
            <v>40.629768008610348</v>
          </cell>
          <cell r="G80">
            <v>101.67222642602385</v>
          </cell>
          <cell r="H80">
            <v>163.50977605920912</v>
          </cell>
        </row>
        <row r="81">
          <cell r="B81" t="str">
            <v>CO2_T</v>
          </cell>
          <cell r="C81" t="str">
            <v>VAR_fout</v>
          </cell>
          <cell r="D81" t="str">
            <v>TFLGV-ICEGSL</v>
          </cell>
          <cell r="E81">
            <v>37.172891416222861</v>
          </cell>
          <cell r="F81">
            <v>42.667746666657358</v>
          </cell>
          <cell r="G81">
            <v>68.587922576323166</v>
          </cell>
          <cell r="H81">
            <v>100.6251509441604</v>
          </cell>
        </row>
        <row r="82">
          <cell r="B82" t="str">
            <v>CO2_T</v>
          </cell>
          <cell r="C82" t="str">
            <v>VAR_fout</v>
          </cell>
          <cell r="D82" t="str">
            <v>T_C-ICE-GSL-S2</v>
          </cell>
          <cell r="E82">
            <v>286.7166606919987</v>
          </cell>
          <cell r="F82">
            <v>391.63890939761046</v>
          </cell>
          <cell r="G82">
            <v>511.3457175529943</v>
          </cell>
          <cell r="H82">
            <v>412.71406671022891</v>
          </cell>
        </row>
        <row r="83">
          <cell r="B83" t="str">
            <v>CO2_T</v>
          </cell>
          <cell r="C83" t="str">
            <v>VAR_fout</v>
          </cell>
          <cell r="D83" t="str">
            <v>T_C-ICE-DSL-S1</v>
          </cell>
          <cell r="E83">
            <v>0.38803906555104856</v>
          </cell>
          <cell r="F83">
            <v>0.43333221032393526</v>
          </cell>
          <cell r="G83">
            <v>0.31750948507769167</v>
          </cell>
          <cell r="H83">
            <v>0.22975675590489092</v>
          </cell>
        </row>
        <row r="84">
          <cell r="B84" t="str">
            <v>CO2_T</v>
          </cell>
          <cell r="C84" t="str">
            <v>VAR_fout</v>
          </cell>
          <cell r="D84" t="str">
            <v>T_C-ICE-GSL-S3</v>
          </cell>
          <cell r="E84">
            <v>303.8381005882012</v>
          </cell>
          <cell r="F84">
            <v>423.61773236610475</v>
          </cell>
          <cell r="G84">
            <v>502.98063550716017</v>
          </cell>
          <cell r="H84">
            <v>411.42702290830272</v>
          </cell>
        </row>
        <row r="85">
          <cell r="B85" t="str">
            <v>CO2_T</v>
          </cell>
          <cell r="C85" t="str">
            <v>VAR_fout</v>
          </cell>
          <cell r="D85" t="str">
            <v>T_C-ICE-DSL-S2</v>
          </cell>
          <cell r="E85">
            <v>77.923751126875743</v>
          </cell>
          <cell r="F85">
            <v>94.050484474053135</v>
          </cell>
          <cell r="G85">
            <v>81.454408853084615</v>
          </cell>
          <cell r="H85">
            <v>60.734045303627234</v>
          </cell>
        </row>
        <row r="86">
          <cell r="B86" t="str">
            <v>CO2_T</v>
          </cell>
          <cell r="C86" t="str">
            <v>VAR_fout</v>
          </cell>
          <cell r="D86" t="str">
            <v>T_C-ICE-GSL-S4</v>
          </cell>
          <cell r="E86">
            <v>286.8156085763539</v>
          </cell>
          <cell r="F86">
            <v>387.77248760912551</v>
          </cell>
          <cell r="G86">
            <v>627.7620782247127</v>
          </cell>
          <cell r="H86">
            <v>518.81476833689862</v>
          </cell>
        </row>
        <row r="87">
          <cell r="B87" t="str">
            <v>CO2_T</v>
          </cell>
          <cell r="C87" t="str">
            <v>VAR_fout</v>
          </cell>
          <cell r="D87" t="str">
            <v>T_C-ICE-DSL-S3</v>
          </cell>
          <cell r="E87">
            <v>335.70924063513633</v>
          </cell>
          <cell r="F87">
            <v>390.45209159910371</v>
          </cell>
          <cell r="G87">
            <v>386.71705391251641</v>
          </cell>
          <cell r="H87">
            <v>295.32553730765392</v>
          </cell>
        </row>
        <row r="88">
          <cell r="B88" t="str">
            <v>CO2_T</v>
          </cell>
          <cell r="C88" t="str">
            <v>VAR_fout</v>
          </cell>
          <cell r="D88" t="str">
            <v>T_C-ICE-DSL-S4</v>
          </cell>
          <cell r="E88">
            <v>142.10956543637622</v>
          </cell>
          <cell r="F88">
            <v>162.05172934297943</v>
          </cell>
          <cell r="G88">
            <v>159.31984382064823</v>
          </cell>
          <cell r="H88">
            <v>117.74972708124469</v>
          </cell>
        </row>
        <row r="89">
          <cell r="B89" t="str">
            <v>CO2_T</v>
          </cell>
          <cell r="C89" t="str">
            <v>VAR_fout</v>
          </cell>
          <cell r="D89" t="str">
            <v>TFLGV-ICENGAExt</v>
          </cell>
          <cell r="E89">
            <v>6.07113342453831</v>
          </cell>
          <cell r="F89">
            <v>1.8271504663756</v>
          </cell>
          <cell r="G89">
            <v>3.9568290756937898</v>
          </cell>
          <cell r="H89">
            <v>4.4757261952941196E-3</v>
          </cell>
        </row>
        <row r="90">
          <cell r="B90" t="str">
            <v>CO2_T</v>
          </cell>
          <cell r="C90" t="str">
            <v>VAR_fout</v>
          </cell>
          <cell r="D90" t="str">
            <v>T_B_u-HYBDSL-S1</v>
          </cell>
          <cell r="F90">
            <v>15.394899519446501</v>
          </cell>
          <cell r="G90">
            <v>15.408492860102012</v>
          </cell>
          <cell r="H90">
            <v>8.4747287235343305E-3</v>
          </cell>
        </row>
        <row r="91">
          <cell r="B91" t="str">
            <v>CO2_T</v>
          </cell>
          <cell r="C91" t="str">
            <v>VAR_fout</v>
          </cell>
          <cell r="D91" t="str">
            <v>T_B_u-HYBDSL-S2</v>
          </cell>
          <cell r="F91">
            <v>2.51763757184831E-2</v>
          </cell>
          <cell r="G91">
            <v>3.3698974424082852E-2</v>
          </cell>
          <cell r="H91">
            <v>1.583682870534962E-2</v>
          </cell>
        </row>
        <row r="92">
          <cell r="B92" t="str">
            <v>CO2_T</v>
          </cell>
          <cell r="C92" t="str">
            <v>VAR_fout</v>
          </cell>
          <cell r="D92" t="str">
            <v>T_B_u-HYBDSL-S3</v>
          </cell>
          <cell r="F92">
            <v>2.0958863441841999</v>
          </cell>
          <cell r="G92">
            <v>41.563706921202709</v>
          </cell>
          <cell r="H92">
            <v>71.207133453685827</v>
          </cell>
        </row>
        <row r="93">
          <cell r="B93" t="str">
            <v>CO2_T</v>
          </cell>
          <cell r="C93" t="str">
            <v>VAR_fout</v>
          </cell>
          <cell r="D93" t="str">
            <v>T_C-HY-GSL-S1</v>
          </cell>
          <cell r="E93">
            <v>3.4285710930719344</v>
          </cell>
          <cell r="F93">
            <v>3.9390125944082568</v>
          </cell>
          <cell r="G93">
            <v>2.7461675523135671</v>
          </cell>
          <cell r="H93">
            <v>2.1231386306225937</v>
          </cell>
        </row>
        <row r="94">
          <cell r="B94" t="str">
            <v>CO2_T</v>
          </cell>
          <cell r="C94" t="str">
            <v>VAR_fout</v>
          </cell>
          <cell r="D94" t="str">
            <v>T_B_u-HYBDSL-S4</v>
          </cell>
        </row>
        <row r="95">
          <cell r="B95" t="str">
            <v>CO2_T</v>
          </cell>
          <cell r="C95" t="str">
            <v>VAR_fout</v>
          </cell>
          <cell r="D95" t="str">
            <v>TFRLFDSLEXT</v>
          </cell>
          <cell r="E95">
            <v>29.033457934831201</v>
          </cell>
          <cell r="F95">
            <v>20.325545589191101</v>
          </cell>
        </row>
        <row r="96">
          <cell r="B96" t="str">
            <v>CO2_T</v>
          </cell>
          <cell r="C96" t="str">
            <v>VAR_fout</v>
          </cell>
          <cell r="D96" t="str">
            <v>T_C-HY-GSL-S2</v>
          </cell>
          <cell r="E96">
            <v>10.070661227515011</v>
          </cell>
          <cell r="F96">
            <v>15.13263941479476</v>
          </cell>
          <cell r="G96">
            <v>54.874552823289847</v>
          </cell>
          <cell r="H96">
            <v>47.506401189937257</v>
          </cell>
        </row>
        <row r="97">
          <cell r="B97" t="str">
            <v>CO2_T</v>
          </cell>
          <cell r="C97" t="str">
            <v>VAR_fout</v>
          </cell>
          <cell r="D97" t="str">
            <v>T_C-HY-DSL-S1</v>
          </cell>
          <cell r="E97">
            <v>2.2671362248562E-3</v>
          </cell>
          <cell r="F97">
            <v>13.438418780809471</v>
          </cell>
          <cell r="G97">
            <v>8.9210256444958187</v>
          </cell>
          <cell r="H97">
            <v>7.173898895857457</v>
          </cell>
        </row>
        <row r="98">
          <cell r="B98" t="str">
            <v>CO2_T</v>
          </cell>
          <cell r="C98" t="str">
            <v>VAR_fout</v>
          </cell>
          <cell r="D98" t="str">
            <v>T_C-HY-GSL-S3</v>
          </cell>
          <cell r="E98">
            <v>7.5201680834057623</v>
          </cell>
          <cell r="F98">
            <v>91.445105003003619</v>
          </cell>
          <cell r="G98">
            <v>86.478939256387832</v>
          </cell>
          <cell r="H98">
            <v>69.157812678084497</v>
          </cell>
        </row>
        <row r="99">
          <cell r="B99" t="str">
            <v>CO2_T</v>
          </cell>
          <cell r="C99" t="str">
            <v>VAR_fout</v>
          </cell>
          <cell r="D99" t="str">
            <v>T_C-HY-DSL-S2</v>
          </cell>
          <cell r="E99">
            <v>0.21071325959332712</v>
          </cell>
          <cell r="F99">
            <v>49.562432118912547</v>
          </cell>
          <cell r="G99">
            <v>87.756088205589819</v>
          </cell>
          <cell r="H99">
            <v>73.595102800021863</v>
          </cell>
        </row>
        <row r="100">
          <cell r="B100" t="str">
            <v>CO2_T</v>
          </cell>
          <cell r="C100" t="str">
            <v>VAR_fout</v>
          </cell>
          <cell r="D100" t="str">
            <v>T_C-HY-GSL-S4</v>
          </cell>
          <cell r="E100">
            <v>6.6975269247581846</v>
          </cell>
          <cell r="F100">
            <v>9.9732443433540148</v>
          </cell>
          <cell r="G100">
            <v>9.4084282723094521</v>
          </cell>
          <cell r="H100">
            <v>7.9467425077281044</v>
          </cell>
        </row>
        <row r="101">
          <cell r="B101" t="str">
            <v>CO2_T</v>
          </cell>
          <cell r="C101" t="str">
            <v>VAR_fout</v>
          </cell>
          <cell r="D101" t="str">
            <v>T_C-HY-DSL-S3</v>
          </cell>
          <cell r="E101">
            <v>2.1738756758991826</v>
          </cell>
          <cell r="F101">
            <v>3.3192590735678293</v>
          </cell>
          <cell r="G101">
            <v>3.1793980169137912</v>
          </cell>
          <cell r="H101">
            <v>2.3790705422229572</v>
          </cell>
        </row>
        <row r="102">
          <cell r="B102" t="str">
            <v>CO2_T</v>
          </cell>
          <cell r="C102" t="str">
            <v>VAR_fout</v>
          </cell>
          <cell r="D102" t="str">
            <v>T_C-HY-DSL-S4</v>
          </cell>
          <cell r="E102">
            <v>2.5978123982880081</v>
          </cell>
          <cell r="F102">
            <v>5.1920370154476618</v>
          </cell>
          <cell r="G102">
            <v>4.9272366800137135</v>
          </cell>
          <cell r="H102">
            <v>4.0365627536652378</v>
          </cell>
        </row>
        <row r="103">
          <cell r="B103" t="str">
            <v>CO2_T</v>
          </cell>
          <cell r="C103" t="str">
            <v>VAR_fout</v>
          </cell>
          <cell r="D103" t="str">
            <v>TFHGV-HYBDSL</v>
          </cell>
          <cell r="F103">
            <v>153.34274042390001</v>
          </cell>
          <cell r="G103">
            <v>329.79494970087103</v>
          </cell>
          <cell r="H103">
            <v>818.39031254968609</v>
          </cell>
        </row>
        <row r="104">
          <cell r="B104" t="str">
            <v>CO2_T</v>
          </cell>
          <cell r="C104" t="str">
            <v>VAR_fout</v>
          </cell>
          <cell r="D104" t="str">
            <v>TFHGV-ICEDSL</v>
          </cell>
          <cell r="E104">
            <v>381.05936924267723</v>
          </cell>
          <cell r="F104">
            <v>352.17856395852704</v>
          </cell>
          <cell r="G104">
            <v>318.26411446415563</v>
          </cell>
          <cell r="H104">
            <v>32.202569347137981</v>
          </cell>
        </row>
        <row r="105">
          <cell r="B105" t="str">
            <v>CO2_T</v>
          </cell>
          <cell r="C105" t="str">
            <v>VAR_fout</v>
          </cell>
          <cell r="D105" t="str">
            <v>T-Plg-DSL-mix_S1</v>
          </cell>
          <cell r="E105">
            <v>1.24446458947547E-3</v>
          </cell>
          <cell r="F105">
            <v>2.7541457226805198E-2</v>
          </cell>
          <cell r="G105">
            <v>3.1089788133265669E-2</v>
          </cell>
          <cell r="H105">
            <v>3.447732736412501E-2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T-Plg-DSL-mix_S2</v>
          </cell>
          <cell r="E106">
            <v>4.23494960615745E-4</v>
          </cell>
          <cell r="F106">
            <v>2.0457846321739699E-2</v>
          </cell>
          <cell r="G106">
            <v>6.43280042603252E-2</v>
          </cell>
          <cell r="H106">
            <v>9.2914902191809257E-2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T-Plg-DSL-mix_S3</v>
          </cell>
          <cell r="E107">
            <v>7.0608859312940196E-3</v>
          </cell>
          <cell r="F107">
            <v>10.19913176921318</v>
          </cell>
          <cell r="G107">
            <v>106.7955276701642</v>
          </cell>
          <cell r="H107">
            <v>338.2668380454179</v>
          </cell>
        </row>
        <row r="108">
          <cell r="B108" t="str">
            <v>CO2_T</v>
          </cell>
          <cell r="C108" t="str">
            <v>VAR_fout</v>
          </cell>
          <cell r="D108" t="str">
            <v>T_B_c-ICEDSL-S1</v>
          </cell>
          <cell r="E108">
            <v>8.3209627598675198</v>
          </cell>
          <cell r="F108">
            <v>22.55467058287914</v>
          </cell>
          <cell r="G108">
            <v>27.5987073253403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T-Plg-DSL-mix_S4</v>
          </cell>
          <cell r="E109">
            <v>0.431242835782434</v>
          </cell>
          <cell r="F109">
            <v>1.1293938655738209</v>
          </cell>
          <cell r="G109">
            <v>1.253023164614403</v>
          </cell>
          <cell r="H109">
            <v>0.87586523651587345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T_B_c-ICEDSL-S2</v>
          </cell>
          <cell r="E110">
            <v>38.091279270627297</v>
          </cell>
          <cell r="F110">
            <v>28.91562055902406</v>
          </cell>
          <cell r="G110">
            <v>29.39735159226543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T_B_c-ICEDSL-S3</v>
          </cell>
          <cell r="E111">
            <v>11.303542788914552</v>
          </cell>
          <cell r="F111">
            <v>9.2949088291296409</v>
          </cell>
          <cell r="G111">
            <v>11.135932551061357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T_B_c-ICEDSL-S4</v>
          </cell>
          <cell r="E112">
            <v>0.91917321630004423</v>
          </cell>
          <cell r="G112">
            <v>1.2662791913329609E-3</v>
          </cell>
        </row>
        <row r="113">
          <cell r="B113" t="str">
            <v>CO2_T</v>
          </cell>
          <cell r="C113" t="str">
            <v>VAR_fout</v>
          </cell>
          <cell r="D113" t="str">
            <v>T_B_u-ICENGA-S1</v>
          </cell>
          <cell r="F113">
            <v>3.1483625821722501E-3</v>
          </cell>
          <cell r="G113">
            <v>1.9679800203094878E-2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T_B_u-ICENGA-S2</v>
          </cell>
          <cell r="F114">
            <v>1.64221800001333E-3</v>
          </cell>
          <cell r="G114">
            <v>1.0803042627409354</v>
          </cell>
        </row>
        <row r="115">
          <cell r="B115" t="str">
            <v>CO2_T</v>
          </cell>
          <cell r="C115" t="str">
            <v>VAR_fout</v>
          </cell>
          <cell r="D115" t="str">
            <v>T_B_c-ICEDSLEXT</v>
          </cell>
          <cell r="E115">
            <v>0.44188211992259602</v>
          </cell>
          <cell r="F115">
            <v>0.44077338426422502</v>
          </cell>
          <cell r="G115">
            <v>0.43756334585825601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T_B_u-ICENGA-S3</v>
          </cell>
          <cell r="F116">
            <v>6.70880156856787E-4</v>
          </cell>
          <cell r="G116">
            <v>7.4365280824607001E-3</v>
          </cell>
          <cell r="H116">
            <v>3.8319410002057902E-5</v>
          </cell>
        </row>
        <row r="117">
          <cell r="B117" t="str">
            <v>CO2_T</v>
          </cell>
          <cell r="C117" t="str">
            <v>VAR_comnet</v>
          </cell>
          <cell r="D117" t="str">
            <v>-</v>
          </cell>
          <cell r="E117">
            <v>14991.254186514499</v>
          </cell>
          <cell r="F117">
            <v>14217.3652038616</v>
          </cell>
          <cell r="G117">
            <v>12851.566995003899</v>
          </cell>
          <cell r="H117">
            <v>8708.2385344709601</v>
          </cell>
        </row>
        <row r="118">
          <cell r="B118" t="str">
            <v>CO2</v>
          </cell>
          <cell r="C118" t="str">
            <v>VAR_fout</v>
          </cell>
          <cell r="D118" t="str">
            <v>othGHG</v>
          </cell>
          <cell r="E118">
            <v>9468.5879275113693</v>
          </cell>
          <cell r="F118">
            <v>9850.7184487346694</v>
          </cell>
          <cell r="G118">
            <v>10232.848969958</v>
          </cell>
          <cell r="H118">
            <v>7212.7597599438004</v>
          </cell>
        </row>
        <row r="119">
          <cell r="B119" t="str">
            <v>CO2</v>
          </cell>
          <cell r="C119" t="str">
            <v>VAR_fout</v>
          </cell>
          <cell r="D119" t="str">
            <v>D-ICOA</v>
          </cell>
          <cell r="E119">
            <v>330.012413478773</v>
          </cell>
          <cell r="F119">
            <v>321.17930441244499</v>
          </cell>
          <cell r="G119">
            <v>309.64828960834097</v>
          </cell>
          <cell r="H119">
            <v>2.1959422673721099E-2</v>
          </cell>
        </row>
        <row r="120">
          <cell r="B120" t="str">
            <v>CO2</v>
          </cell>
          <cell r="C120" t="str">
            <v>VAR_fout</v>
          </cell>
          <cell r="D120" t="str">
            <v>D-ENGA</v>
          </cell>
          <cell r="E120">
            <v>310.86628449092098</v>
          </cell>
          <cell r="F120">
            <v>97.099106413104906</v>
          </cell>
          <cell r="G120">
            <v>64.220134316405293</v>
          </cell>
          <cell r="H120">
            <v>168.00994999699401</v>
          </cell>
        </row>
        <row r="121">
          <cell r="B121" t="str">
            <v>CO2</v>
          </cell>
          <cell r="C121" t="str">
            <v>VAR_fout</v>
          </cell>
          <cell r="D121" t="str">
            <v>D-ILFO</v>
          </cell>
          <cell r="E121">
            <v>688.81204010383703</v>
          </cell>
          <cell r="F121">
            <v>659.57576137618003</v>
          </cell>
          <cell r="G121">
            <v>621.78805166626796</v>
          </cell>
          <cell r="H121">
            <v>485.17533603775701</v>
          </cell>
        </row>
        <row r="122">
          <cell r="B122" t="str">
            <v>CO2</v>
          </cell>
          <cell r="C122" t="str">
            <v>VAR_fout</v>
          </cell>
          <cell r="D122" t="str">
            <v>D-TDSL</v>
          </cell>
          <cell r="E122">
            <v>8614.5742437584595</v>
          </cell>
          <cell r="F122">
            <v>8259.8717085397693</v>
          </cell>
          <cell r="G122">
            <v>7018.3610713492799</v>
          </cell>
          <cell r="H122">
            <v>5067.6735777121503</v>
          </cell>
        </row>
        <row r="123">
          <cell r="B123" t="str">
            <v>CO2</v>
          </cell>
          <cell r="C123" t="str">
            <v>VAR_fout</v>
          </cell>
          <cell r="D123" t="str">
            <v>ITOT-PROCESSCO2</v>
          </cell>
          <cell r="E123">
            <v>2089.34680048464</v>
          </cell>
          <cell r="F123">
            <v>2111.0131698740802</v>
          </cell>
          <cell r="G123">
            <v>2102.26947106126</v>
          </cell>
          <cell r="H123">
            <v>2093.6570624126398</v>
          </cell>
        </row>
        <row r="124">
          <cell r="B124" t="str">
            <v>CO2</v>
          </cell>
          <cell r="C124" t="str">
            <v>VAR_fout</v>
          </cell>
          <cell r="D124" t="str">
            <v>D-ELFO</v>
          </cell>
          <cell r="E124">
            <v>26.137860936233199</v>
          </cell>
          <cell r="F124">
            <v>16.439531108332002</v>
          </cell>
          <cell r="G124">
            <v>1.3095689327032201</v>
          </cell>
          <cell r="H124">
            <v>0.175338660227215</v>
          </cell>
        </row>
        <row r="125">
          <cell r="B125" t="str">
            <v>CO2</v>
          </cell>
          <cell r="C125" t="str">
            <v>VAR_fout</v>
          </cell>
          <cell r="D125" t="str">
            <v>D-TNGA</v>
          </cell>
          <cell r="E125">
            <v>16.1920263423996</v>
          </cell>
          <cell r="F125">
            <v>7.9406025098904003</v>
          </cell>
          <cell r="G125">
            <v>11.3741493886813</v>
          </cell>
          <cell r="H125">
            <v>0.35722263542508398</v>
          </cell>
        </row>
        <row r="126">
          <cell r="B126" t="str">
            <v>CO2</v>
          </cell>
          <cell r="C126" t="str">
            <v>VAR_fout</v>
          </cell>
          <cell r="D126" t="str">
            <v>D-SNGA</v>
          </cell>
          <cell r="E126">
            <v>1521.83054530101</v>
          </cell>
          <cell r="F126">
            <v>1505.0978421386101</v>
          </cell>
          <cell r="G126">
            <v>1385.92866279088</v>
          </cell>
          <cell r="H126">
            <v>1283.4050313791199</v>
          </cell>
        </row>
        <row r="127">
          <cell r="B127" t="str">
            <v>CO2</v>
          </cell>
          <cell r="C127" t="str">
            <v>VAR_fout</v>
          </cell>
          <cell r="D127" t="str">
            <v>CO2compabroad</v>
          </cell>
          <cell r="H127">
            <v>-3592.36211687579</v>
          </cell>
        </row>
        <row r="128">
          <cell r="B128" t="str">
            <v>CO2</v>
          </cell>
          <cell r="C128" t="str">
            <v>VAR_fout</v>
          </cell>
          <cell r="D128" t="str">
            <v>D-RNGA</v>
          </cell>
          <cell r="E128">
            <v>2650.5234539707799</v>
          </cell>
          <cell r="F128">
            <v>2560.5947498866699</v>
          </cell>
          <cell r="G128">
            <v>2694.9222181602699</v>
          </cell>
          <cell r="H128">
            <v>2464.8626803311599</v>
          </cell>
        </row>
        <row r="129">
          <cell r="B129" t="str">
            <v>CO2</v>
          </cell>
          <cell r="C129" t="str">
            <v>VAR_fout</v>
          </cell>
          <cell r="D129" t="str">
            <v>D-IHFO</v>
          </cell>
          <cell r="E129">
            <v>213.78071862107299</v>
          </cell>
          <cell r="F129">
            <v>212.85953981613699</v>
          </cell>
          <cell r="G129">
            <v>9.1431588964333593E-2</v>
          </cell>
          <cell r="H129">
            <v>1.6727374797476099E-2</v>
          </cell>
        </row>
        <row r="130">
          <cell r="B130" t="str">
            <v>CO2</v>
          </cell>
          <cell r="C130" t="str">
            <v>VAR_fout</v>
          </cell>
          <cell r="D130" t="str">
            <v>D-SLFO</v>
          </cell>
          <cell r="E130">
            <v>2267.7886430973299</v>
          </cell>
          <cell r="F130">
            <v>1978.75493190877</v>
          </cell>
          <cell r="G130">
            <v>2028.0269831825201</v>
          </cell>
          <cell r="H130">
            <v>1465.8414138988501</v>
          </cell>
        </row>
        <row r="131">
          <cell r="B131" t="str">
            <v>CO2</v>
          </cell>
          <cell r="C131" t="str">
            <v>VAR_fout</v>
          </cell>
          <cell r="D131" t="str">
            <v>D-RCOA</v>
          </cell>
          <cell r="E131">
            <v>9.2700810955579893</v>
          </cell>
          <cell r="F131">
            <v>9.27005946500765</v>
          </cell>
          <cell r="G131">
            <v>2.4985699249556999</v>
          </cell>
          <cell r="H131">
            <v>0.561906252020832</v>
          </cell>
        </row>
        <row r="132">
          <cell r="B132" t="str">
            <v>CO2</v>
          </cell>
          <cell r="C132" t="str">
            <v>VAR_fout</v>
          </cell>
          <cell r="D132" t="str">
            <v>D-RLFO</v>
          </cell>
          <cell r="E132">
            <v>4514.4829169642198</v>
          </cell>
          <cell r="F132">
            <v>3846.5261273986298</v>
          </cell>
          <cell r="G132">
            <v>3821.8849419166399</v>
          </cell>
          <cell r="H132">
            <v>2498.3393055747301</v>
          </cell>
        </row>
        <row r="133">
          <cell r="B133" t="str">
            <v>CO2</v>
          </cell>
          <cell r="C133" t="str">
            <v>VAR_fout</v>
          </cell>
          <cell r="D133" t="str">
            <v>D-TGSL</v>
          </cell>
          <cell r="E133">
            <v>5943.7237556411001</v>
          </cell>
          <cell r="F133">
            <v>5512.9551094266999</v>
          </cell>
          <cell r="G133">
            <v>5244.1425032564202</v>
          </cell>
          <cell r="H133">
            <v>3161.8796341736702</v>
          </cell>
        </row>
        <row r="134">
          <cell r="B134" t="str">
            <v>CO2</v>
          </cell>
          <cell r="C134" t="str">
            <v>VAR_fout</v>
          </cell>
          <cell r="D134" t="str">
            <v>D-IWST</v>
          </cell>
          <cell r="E134">
            <v>1068.12878236547</v>
          </cell>
          <cell r="F134">
            <v>1094.4819841784099</v>
          </cell>
          <cell r="G134">
            <v>1024.6412594920901</v>
          </cell>
          <cell r="H134">
            <v>1013.1979718591</v>
          </cell>
        </row>
        <row r="135">
          <cell r="B135" t="str">
            <v>CO2</v>
          </cell>
          <cell r="C135" t="str">
            <v>VAR_fout</v>
          </cell>
          <cell r="D135" t="str">
            <v>D-TKER</v>
          </cell>
          <cell r="E135">
            <v>80.734414829308605</v>
          </cell>
          <cell r="F135">
            <v>102.29881909652801</v>
          </cell>
          <cell r="G135">
            <v>134.56768699655299</v>
          </cell>
          <cell r="H135">
            <v>187.22817471910699</v>
          </cell>
        </row>
        <row r="136">
          <cell r="B136" t="str">
            <v>CO2</v>
          </cell>
          <cell r="C136" t="str">
            <v>VAR_fout</v>
          </cell>
          <cell r="D136" t="str">
            <v>D-INGA</v>
          </cell>
          <cell r="E136">
            <v>2101.5527816373201</v>
          </cell>
          <cell r="F136">
            <v>1848.2740845886999</v>
          </cell>
          <cell r="G136">
            <v>1887.2180135369499</v>
          </cell>
          <cell r="H136">
            <v>1779.59971786542</v>
          </cell>
        </row>
        <row r="137">
          <cell r="B137" t="str">
            <v>CO2</v>
          </cell>
          <cell r="C137" t="str">
            <v>VAR_fout</v>
          </cell>
          <cell r="D137" t="str">
            <v>D-EWST</v>
          </cell>
          <cell r="E137">
            <v>2266.2746268166802</v>
          </cell>
          <cell r="F137">
            <v>2235.40324946291</v>
          </cell>
          <cell r="G137">
            <v>2268.78181648185</v>
          </cell>
          <cell r="H137">
            <v>2238.5109540887001</v>
          </cell>
        </row>
        <row r="138">
          <cell r="B138" t="str">
            <v>CO2</v>
          </cell>
          <cell r="C138" t="str">
            <v>VAR_comnet</v>
          </cell>
          <cell r="D138" t="str">
            <v>-</v>
          </cell>
          <cell r="H138">
            <v>27528.9116096008</v>
          </cell>
        </row>
        <row r="139">
          <cell r="B139" t="str">
            <v>CO2</v>
          </cell>
          <cell r="C139" t="str">
            <v>EQ_combalM</v>
          </cell>
          <cell r="D139" t="str">
            <v>-</v>
          </cell>
          <cell r="H139">
            <v>-5.7528261596042303E-2</v>
          </cell>
        </row>
        <row r="140">
          <cell r="B140" t="str">
            <v>CO2_SECTOR</v>
          </cell>
          <cell r="C140" t="str">
            <v>VAR_fout</v>
          </cell>
          <cell r="D140" t="str">
            <v>CO2_IND</v>
          </cell>
          <cell r="E140">
            <v>6491.6335366911208</v>
          </cell>
          <cell r="F140">
            <v>6247.3838442459519</v>
          </cell>
          <cell r="G140">
            <v>5945.6565169538617</v>
          </cell>
          <cell r="H140">
            <v>5371.668774972376</v>
          </cell>
        </row>
        <row r="141">
          <cell r="B141" t="str">
            <v>CO2_SECTOR</v>
          </cell>
          <cell r="C141" t="str">
            <v>VAR_fout</v>
          </cell>
          <cell r="D141" t="str">
            <v>CO2_RES</v>
          </cell>
          <cell r="E141">
            <v>7174.2764520305564</v>
          </cell>
          <cell r="F141">
            <v>6416.3909367502956</v>
          </cell>
          <cell r="G141">
            <v>6519.3057300018645</v>
          </cell>
          <cell r="H141">
            <v>4963.7638921579182</v>
          </cell>
        </row>
        <row r="142">
          <cell r="B142" t="str">
            <v>CO2_SECTOR</v>
          </cell>
          <cell r="C142" t="str">
            <v>VAR_fout</v>
          </cell>
          <cell r="D142" t="str">
            <v>CO2_TRA</v>
          </cell>
          <cell r="E142">
            <v>14654.037959155616</v>
          </cell>
          <cell r="F142">
            <v>13881.56284541369</v>
          </cell>
          <cell r="G142">
            <v>12406.467790169605</v>
          </cell>
          <cell r="H142">
            <v>8414.3870865145163</v>
          </cell>
        </row>
        <row r="143">
          <cell r="B143" t="str">
            <v>CO2_SECTOR</v>
          </cell>
          <cell r="C143" t="str">
            <v>VAR_fout</v>
          </cell>
          <cell r="D143" t="str">
            <v>CO2_ELC</v>
          </cell>
          <cell r="E143">
            <v>2603.2787722438361</v>
          </cell>
          <cell r="F143">
            <v>2348.9418869843503</v>
          </cell>
          <cell r="G143">
            <v>2334.3115197309589</v>
          </cell>
          <cell r="H143">
            <v>2406.6962427459193</v>
          </cell>
        </row>
        <row r="144">
          <cell r="B144" t="str">
            <v>CO2_SECTOR</v>
          </cell>
          <cell r="C144" t="str">
            <v>VAR_fout</v>
          </cell>
          <cell r="D144" t="str">
            <v>CO2_SER</v>
          </cell>
          <cell r="E144">
            <v>3789.6191883983352</v>
          </cell>
          <cell r="F144">
            <v>3483.8527740473869</v>
          </cell>
          <cell r="G144">
            <v>3413.9556459733976</v>
          </cell>
          <cell r="H144">
            <v>2749.2464452779759</v>
          </cell>
        </row>
        <row r="145">
          <cell r="B145" t="str">
            <v>CO2_SECTOR</v>
          </cell>
          <cell r="C145" t="str">
            <v>VAR_fout</v>
          </cell>
          <cell r="D145" t="str">
            <v>CO2_ELCCCS</v>
          </cell>
          <cell r="E145">
            <v>2603.2787722438361</v>
          </cell>
          <cell r="F145">
            <v>2348.9418869843503</v>
          </cell>
          <cell r="G145">
            <v>2334.3115197309589</v>
          </cell>
          <cell r="H145">
            <v>2406.6962427459193</v>
          </cell>
        </row>
        <row r="146">
          <cell r="B146" t="str">
            <v>CO2_SECTOR</v>
          </cell>
          <cell r="C146" t="str">
            <v>VAR_fout</v>
          </cell>
          <cell r="D146" t="str">
            <v>CO2_INDCCS</v>
          </cell>
          <cell r="E146">
            <v>6491.6335366911208</v>
          </cell>
          <cell r="F146">
            <v>6247.3838442459519</v>
          </cell>
          <cell r="G146">
            <v>5945.6565169538617</v>
          </cell>
          <cell r="H146">
            <v>5371.668774972376</v>
          </cell>
        </row>
        <row r="147">
          <cell r="B147" t="str">
            <v>CO2_SECTOR</v>
          </cell>
          <cell r="C147" t="str">
            <v>VAR_comnet</v>
          </cell>
          <cell r="D147" t="str">
            <v>-</v>
          </cell>
          <cell r="E147">
            <v>43807.758217454444</v>
          </cell>
          <cell r="F147">
            <v>40974.458018671976</v>
          </cell>
          <cell r="G147">
            <v>38899.665239514521</v>
          </cell>
          <cell r="H147">
            <v>31684.127459387015</v>
          </cell>
        </row>
        <row r="148">
          <cell r="B148" t="str">
            <v>CO2SC</v>
          </cell>
          <cell r="C148" t="str">
            <v>VAR_fout</v>
          </cell>
          <cell r="D148" t="str">
            <v>CO2S1</v>
          </cell>
          <cell r="E148">
            <v>6307.1990227535098</v>
          </cell>
          <cell r="F148">
            <v>6307.1990227535098</v>
          </cell>
          <cell r="G148">
            <v>6307.1990227535098</v>
          </cell>
          <cell r="H148">
            <v>6307.1990227535098</v>
          </cell>
        </row>
        <row r="149">
          <cell r="B149" t="str">
            <v>CO2P</v>
          </cell>
          <cell r="C149" t="str">
            <v>VAR_fout</v>
          </cell>
          <cell r="D149" t="str">
            <v>ITOT-PROCESSCO2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</row>
        <row r="150">
          <cell r="B150" t="str">
            <v>CO2P</v>
          </cell>
          <cell r="C150" t="str">
            <v>VAR_comnet</v>
          </cell>
          <cell r="D150" t="str">
            <v>-</v>
          </cell>
          <cell r="E150">
            <v>2089.34680048464</v>
          </cell>
          <cell r="F150">
            <v>2111.0131698740802</v>
          </cell>
          <cell r="G150">
            <v>2102.26947106126</v>
          </cell>
          <cell r="H150">
            <v>2093.6570624126398</v>
          </cell>
        </row>
        <row r="151">
          <cell r="B151" t="str">
            <v>CO2_E</v>
          </cell>
          <cell r="C151" t="str">
            <v>VAR_fout</v>
          </cell>
          <cell r="D151" t="str">
            <v>ENGA-CCS</v>
          </cell>
        </row>
        <row r="152">
          <cell r="B152" t="str">
            <v>CO2_E</v>
          </cell>
          <cell r="C152" t="str">
            <v>VAR_fout</v>
          </cell>
          <cell r="D152" t="str">
            <v>HPLNGA</v>
          </cell>
          <cell r="E152">
            <v>114.383732874114</v>
          </cell>
          <cell r="F152">
            <v>96.747397606189494</v>
          </cell>
          <cell r="G152">
            <v>53.850620538434903</v>
          </cell>
          <cell r="H152">
            <v>200.19248526937901</v>
          </cell>
        </row>
        <row r="153">
          <cell r="B153" t="str">
            <v>CO2_E</v>
          </cell>
          <cell r="C153" t="str">
            <v>VAR_fout</v>
          </cell>
          <cell r="D153" t="str">
            <v>CHPWST</v>
          </cell>
          <cell r="E153">
            <v>2843.2560177389701</v>
          </cell>
          <cell r="F153">
            <v>2574.9226645630201</v>
          </cell>
          <cell r="G153">
            <v>2409.0548280831399</v>
          </cell>
          <cell r="H153">
            <v>2556.3786412352301</v>
          </cell>
        </row>
        <row r="154">
          <cell r="B154" t="str">
            <v>CO2_E</v>
          </cell>
          <cell r="C154" t="str">
            <v>VAR_fout</v>
          </cell>
          <cell r="D154" t="str">
            <v>CHPNGA</v>
          </cell>
          <cell r="E154">
            <v>206.98172691568101</v>
          </cell>
          <cell r="F154">
            <v>4.3692024515143597E-2</v>
          </cell>
          <cell r="G154">
            <v>16.433757439693299</v>
          </cell>
          <cell r="H154">
            <v>1.8905983683065899</v>
          </cell>
        </row>
        <row r="155">
          <cell r="B155" t="str">
            <v>CO2_E</v>
          </cell>
          <cell r="C155" t="str">
            <v>VAR_fout</v>
          </cell>
          <cell r="D155" t="str">
            <v>EWSTINC</v>
          </cell>
          <cell r="E155">
            <v>1689.2932358943899</v>
          </cell>
          <cell r="F155">
            <v>1895.8839875287599</v>
          </cell>
          <cell r="G155">
            <v>2128.50892887802</v>
          </cell>
          <cell r="H155">
            <v>1920.64324735065</v>
          </cell>
        </row>
        <row r="156">
          <cell r="B156" t="str">
            <v>CO2_E</v>
          </cell>
          <cell r="C156" t="str">
            <v>VAR_fout</v>
          </cell>
          <cell r="D156" t="str">
            <v>ENGA-GTCC</v>
          </cell>
        </row>
        <row r="157">
          <cell r="B157" t="str">
            <v>CO2_E</v>
          </cell>
          <cell r="C157" t="str">
            <v>VAR_fout</v>
          </cell>
          <cell r="D157" t="str">
            <v>HPLOIL</v>
          </cell>
          <cell r="E157">
            <v>15.876678439795</v>
          </cell>
          <cell r="F157">
            <v>16.027931091026499</v>
          </cell>
          <cell r="G157">
            <v>3.58552539452704E-2</v>
          </cell>
          <cell r="H157">
            <v>2.3350819918752801E-2</v>
          </cell>
        </row>
        <row r="158">
          <cell r="B158" t="str">
            <v>CO2_E</v>
          </cell>
          <cell r="C158" t="str">
            <v>VAR_fout</v>
          </cell>
          <cell r="D158" t="str">
            <v>CHPGFC</v>
          </cell>
        </row>
        <row r="159">
          <cell r="B159" t="str">
            <v>CO2_E</v>
          </cell>
          <cell r="C159" t="str">
            <v>VAR_fout</v>
          </cell>
          <cell r="D159" t="str">
            <v>EOIL-ENG</v>
          </cell>
          <cell r="E159">
            <v>8.4791523402534708</v>
          </cell>
          <cell r="F159">
            <v>5.7823826757825499E-2</v>
          </cell>
          <cell r="G159">
            <v>0.89445883935720405</v>
          </cell>
          <cell r="H159">
            <v>5.8989171990648598E-2</v>
          </cell>
        </row>
        <row r="160">
          <cell r="B160" t="str">
            <v>CO2_E</v>
          </cell>
          <cell r="C160" t="str">
            <v>VAR_fout</v>
          </cell>
          <cell r="D160" t="str">
            <v>ENGA-GTOC</v>
          </cell>
        </row>
        <row r="161">
          <cell r="B161" t="str">
            <v>CO2_E</v>
          </cell>
          <cell r="C161" t="str">
            <v>VAR_fout</v>
          </cell>
          <cell r="D161" t="str">
            <v>CHPOIL</v>
          </cell>
          <cell r="E161">
            <v>1.3454974176064101</v>
          </cell>
          <cell r="F161">
            <v>7.9424341237520193E-2</v>
          </cell>
          <cell r="G161">
            <v>0.358192838708632</v>
          </cell>
          <cell r="H161">
            <v>9.1507613497885595E-2</v>
          </cell>
        </row>
        <row r="162">
          <cell r="B162" t="str">
            <v>CO2_E</v>
          </cell>
          <cell r="C162" t="str">
            <v>VAR_comnet</v>
          </cell>
          <cell r="D162" t="str">
            <v>-</v>
          </cell>
          <cell r="E162">
            <v>4879.6160416208104</v>
          </cell>
          <cell r="F162">
            <v>4583.7629209815004</v>
          </cell>
          <cell r="G162">
            <v>4609.1366418712996</v>
          </cell>
          <cell r="H162">
            <v>4679.27881982897</v>
          </cell>
        </row>
        <row r="163">
          <cell r="B163" t="str">
            <v>CO2_I</v>
          </cell>
          <cell r="C163" t="str">
            <v>VAR_fout</v>
          </cell>
          <cell r="D163" t="str">
            <v>ITOT-CHPNGA</v>
          </cell>
          <cell r="E163">
            <v>108.17302359460299</v>
          </cell>
          <cell r="F163">
            <v>26.565973380236301</v>
          </cell>
          <cell r="G163">
            <v>151.773640754973</v>
          </cell>
          <cell r="H163">
            <v>221.83779022111</v>
          </cell>
        </row>
        <row r="164">
          <cell r="B164" t="str">
            <v>CO2_I</v>
          </cell>
          <cell r="C164" t="str">
            <v>VAR_fout</v>
          </cell>
          <cell r="D164" t="str">
            <v>ITOT-SWHNGABR</v>
          </cell>
          <cell r="E164">
            <v>2005.1531709353901</v>
          </cell>
          <cell r="F164">
            <v>1815.82339148046</v>
          </cell>
          <cell r="G164">
            <v>1896.59966103585</v>
          </cell>
          <cell r="H164">
            <v>1747.9121084399501</v>
          </cell>
        </row>
        <row r="165">
          <cell r="B165" t="str">
            <v>CO2_I</v>
          </cell>
          <cell r="C165" t="str">
            <v>VAR_fout</v>
          </cell>
          <cell r="D165" t="str">
            <v>ITOT-SWHLFOBR</v>
          </cell>
          <cell r="E165">
            <v>655.76859775406695</v>
          </cell>
          <cell r="F165">
            <v>597.33696360137799</v>
          </cell>
          <cell r="G165">
            <v>608.51944146685298</v>
          </cell>
          <cell r="H165">
            <v>495.46481946979497</v>
          </cell>
        </row>
        <row r="166">
          <cell r="B166" t="str">
            <v>CO2_I</v>
          </cell>
          <cell r="C166" t="str">
            <v>VAR_fout</v>
          </cell>
          <cell r="D166" t="str">
            <v>ITOT-CHPNGACCS</v>
          </cell>
        </row>
        <row r="167">
          <cell r="B167" t="str">
            <v>CO2_I</v>
          </cell>
          <cell r="C167" t="str">
            <v>VAR_fout</v>
          </cell>
          <cell r="D167" t="str">
            <v>ITOT-CHPGFC</v>
          </cell>
          <cell r="H167">
            <v>3.3838069956065801E-2</v>
          </cell>
        </row>
        <row r="168">
          <cell r="B168" t="str">
            <v>CO2_I</v>
          </cell>
          <cell r="C168" t="str">
            <v>VAR_fout</v>
          </cell>
          <cell r="D168" t="str">
            <v>ITOT-SWHCOABR</v>
          </cell>
          <cell r="E168">
            <v>330.012413478773</v>
          </cell>
          <cell r="F168">
            <v>321.17930441244499</v>
          </cell>
          <cell r="G168">
            <v>309.64828960834097</v>
          </cell>
          <cell r="H168">
            <v>2.1959422673721099E-2</v>
          </cell>
        </row>
        <row r="169">
          <cell r="B169" t="str">
            <v>CO2_I</v>
          </cell>
          <cell r="C169" t="str">
            <v>VAR_fout</v>
          </cell>
          <cell r="D169" t="str">
            <v>ITOT-CHPOIL</v>
          </cell>
          <cell r="E169">
            <v>21.539478541644101</v>
          </cell>
          <cell r="F169">
            <v>51.224251441222599</v>
          </cell>
          <cell r="G169">
            <v>2.8874611387739901</v>
          </cell>
          <cell r="H169">
            <v>47.9013170350648</v>
          </cell>
        </row>
        <row r="170">
          <cell r="B170" t="str">
            <v>CO2_I</v>
          </cell>
          <cell r="C170" t="str">
            <v>VAR_fout</v>
          </cell>
          <cell r="D170" t="str">
            <v>ITOT-SWHWSTBR</v>
          </cell>
          <cell r="E170">
            <v>723.65862774980997</v>
          </cell>
          <cell r="F170">
            <v>749.83797818393305</v>
          </cell>
          <cell r="G170">
            <v>1024.20130492061</v>
          </cell>
          <cell r="H170">
            <v>1012.80484850299</v>
          </cell>
        </row>
        <row r="171">
          <cell r="B171" t="str">
            <v>CO2_I</v>
          </cell>
          <cell r="C171" t="str">
            <v>VAR_fout</v>
          </cell>
          <cell r="D171" t="str">
            <v>ITOT-SWHNGAHP</v>
          </cell>
          <cell r="G171">
            <v>0.79052930679071198</v>
          </cell>
          <cell r="H171">
            <v>0.799021764792891</v>
          </cell>
        </row>
        <row r="172">
          <cell r="B172" t="str">
            <v>CO2_I</v>
          </cell>
          <cell r="C172" t="str">
            <v>VAR_fout</v>
          </cell>
          <cell r="D172" t="str">
            <v>ITOT-CHPWST</v>
          </cell>
          <cell r="E172">
            <v>344.47015461566298</v>
          </cell>
          <cell r="F172">
            <v>344.64526755139298</v>
          </cell>
          <cell r="G172">
            <v>0.44307889057025202</v>
          </cell>
          <cell r="H172">
            <v>0.39521098769539098</v>
          </cell>
        </row>
        <row r="173">
          <cell r="B173" t="str">
            <v>CO2_I</v>
          </cell>
          <cell r="C173" t="str">
            <v>VAR_fout</v>
          </cell>
          <cell r="D173" t="str">
            <v>ITOT-SWHHFOBR</v>
          </cell>
          <cell r="E173">
            <v>210.21033148103299</v>
          </cell>
          <cell r="F173">
            <v>209.304537435676</v>
          </cell>
          <cell r="G173">
            <v>8.9904574874674903E-2</v>
          </cell>
          <cell r="H173">
            <v>1.6448008144352402E-2</v>
          </cell>
        </row>
        <row r="174">
          <cell r="B174" t="str">
            <v>CO2_I</v>
          </cell>
          <cell r="C174" t="str">
            <v>VAR_comnet</v>
          </cell>
          <cell r="D174" t="str">
            <v>-</v>
          </cell>
          <cell r="E174">
            <v>4398.9857981509804</v>
          </cell>
          <cell r="F174">
            <v>4115.9176674867404</v>
          </cell>
          <cell r="G174">
            <v>3994.9533116976399</v>
          </cell>
          <cell r="H174">
            <v>3527.1873619221701</v>
          </cell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1.02317145800669E-7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1.0048021945320599E-6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2.47139804778945E-7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3.00949499088119E-7</v>
          </cell>
          <cell r="F8">
            <v>1.02555734195434E-7</v>
          </cell>
          <cell r="G8">
            <v>1.2938045110089201E-7</v>
          </cell>
          <cell r="H8">
            <v>1.7598270911190499E-7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4.0965783086815101E-3</v>
          </cell>
          <cell r="F10">
            <v>2.2999708816926201E-2</v>
          </cell>
          <cell r="G10">
            <v>1.5629909226362601E-7</v>
          </cell>
          <cell r="H10">
            <v>7.2849331956473196E-2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8.4803049144543103E-8</v>
          </cell>
          <cell r="F11">
            <v>8.9946732734753501E-8</v>
          </cell>
          <cell r="G11">
            <v>1.0860332004275E-7</v>
          </cell>
          <cell r="H11">
            <v>1.3394242608416999E-7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1.43337840048123E-2</v>
          </cell>
          <cell r="F12">
            <v>9.6981817579711901E-2</v>
          </cell>
          <cell r="G12">
            <v>9.66995290516673E-8</v>
          </cell>
          <cell r="H12">
            <v>4.42755026305989E-7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7.5740780559487603E-2</v>
          </cell>
          <cell r="H13">
            <v>6.6973222037978099E-7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5.2509822322094497E-8</v>
          </cell>
          <cell r="F14">
            <v>1.9161737511842199E-8</v>
          </cell>
          <cell r="G14">
            <v>2.1042827657592599E-8</v>
          </cell>
          <cell r="H14">
            <v>2.19448041719882E-8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2.2215685835841602E-6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1.7441374784926599E-7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2.5305034974046899E-6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7.3970535087961806E-8</v>
          </cell>
          <cell r="F18">
            <v>2.9019836902292399E-8</v>
          </cell>
          <cell r="G18">
            <v>3.4887330160566701E-8</v>
          </cell>
          <cell r="H18">
            <v>4.0834057865580099E-8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4.9292721705983103E-2</v>
          </cell>
          <cell r="F19">
            <v>0.107604727808033</v>
          </cell>
          <cell r="G19">
            <v>5.5005056520254598E-3</v>
          </cell>
          <cell r="H19">
            <v>1.4650348209991701E-6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3.5259530789771497E-8</v>
          </cell>
          <cell r="F20">
            <v>1.86958403953388E-8</v>
          </cell>
          <cell r="G20">
            <v>2.39019882737386E-8</v>
          </cell>
          <cell r="H20">
            <v>2.3304964486187301E-8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1.6515617230208301E-7</v>
          </cell>
          <cell r="F21">
            <v>7.71765422465545E-6</v>
          </cell>
          <cell r="G21">
            <v>3.9428735470364901E-7</v>
          </cell>
          <cell r="H21">
            <v>6.9886470906497696E-8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E23">
            <v>1.5806548997101099E-4</v>
          </cell>
          <cell r="F23">
            <v>7.1831152273802197E-7</v>
          </cell>
          <cell r="G23">
            <v>1.61230490527306E-6</v>
          </cell>
          <cell r="H23">
            <v>2.3316023824777299E-4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E24">
            <v>1.09919795965141E-7</v>
          </cell>
          <cell r="F24">
            <v>1.21079487461607E-7</v>
          </cell>
          <cell r="G24">
            <v>1.15720917114841E-5</v>
          </cell>
          <cell r="H24">
            <v>3.6016592608504697E-8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E25">
            <v>0.15270062878561799</v>
          </cell>
          <cell r="F25">
            <v>5.4950146139535999E-2</v>
          </cell>
          <cell r="G25">
            <v>2.0969717589215799E-7</v>
          </cell>
          <cell r="H25">
            <v>2.8390946147404899E-7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H26">
            <v>1.10415325401401E-5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E27">
            <v>6.53762456183126E-3</v>
          </cell>
          <cell r="F27">
            <v>6.4907900130055698E-8</v>
          </cell>
          <cell r="G27">
            <v>1.44811632748583E-7</v>
          </cell>
          <cell r="H27">
            <v>4.8667953545739997E-8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E28">
            <v>1.19799952748988E-7</v>
          </cell>
          <cell r="F28">
            <v>8.1807591519007195E-8</v>
          </cell>
          <cell r="G28">
            <v>9.5191238806530596E-8</v>
          </cell>
          <cell r="H28">
            <v>1.11872064592827E-7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H29">
            <v>1.39743624246969E-7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H30">
            <v>1.02317145800669E-7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H32">
            <v>1.0048021945320599E-6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H33">
            <v>2.47139804778945E-7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E34">
            <v>1.0275122954904792</v>
          </cell>
          <cell r="F34">
            <v>1.0275123980462133</v>
          </cell>
          <cell r="G34">
            <v>1.0275125274266645</v>
          </cell>
          <cell r="H34">
            <v>1.0275127034093736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E36">
            <v>0.21266698410449497</v>
          </cell>
          <cell r="F36">
            <v>0.23566663943184035</v>
          </cell>
          <cell r="G36">
            <v>0.23566563443243968</v>
          </cell>
          <cell r="H36">
            <v>0.23493092197010979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E37">
            <v>8.4803049144543103E-8</v>
          </cell>
          <cell r="F37">
            <v>1.7474978187929699E-7</v>
          </cell>
          <cell r="G37">
            <v>2.8335310192204701E-7</v>
          </cell>
          <cell r="H37">
            <v>4.17295528006217E-7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E38">
            <v>4.2352076827635025E-2</v>
          </cell>
          <cell r="F38">
            <v>0.13933393409159084</v>
          </cell>
          <cell r="G38">
            <v>0.13933287326057262</v>
          </cell>
          <cell r="H38">
            <v>0.13447909596238639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H39">
            <v>5.2749051384562602E-2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E40">
            <v>0.95961774559146629</v>
          </cell>
          <cell r="F40">
            <v>0.95961776475320382</v>
          </cell>
          <cell r="G40">
            <v>0.95961778579603152</v>
          </cell>
          <cell r="H40">
            <v>0.95961780774083572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H41">
            <v>2.2215685835841602E-6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H42">
            <v>1.7441374784926599E-7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H43">
            <v>2.5305034974046899E-6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E44">
            <v>2.2350522755956752</v>
          </cell>
          <cell r="F44">
            <v>2.235052304615512</v>
          </cell>
          <cell r="G44">
            <v>2.2350523395028423</v>
          </cell>
          <cell r="H44">
            <v>2.2350523803369002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E45">
            <v>4.9292721705983103E-2</v>
          </cell>
          <cell r="F45">
            <v>0.1568973617117721</v>
          </cell>
          <cell r="G45">
            <v>0.16239771527616775</v>
          </cell>
          <cell r="H45">
            <v>0.16239895810788377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E46">
            <v>3.0972400426554509</v>
          </cell>
          <cell r="F46">
            <v>3.0972400613512914</v>
          </cell>
          <cell r="G46">
            <v>3.0972400852532798</v>
          </cell>
          <cell r="H46">
            <v>3.0972401085582439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E47">
            <v>1.6515617230208301E-7</v>
          </cell>
          <cell r="F47">
            <v>7.8620719559958749E-6</v>
          </cell>
          <cell r="G47">
            <v>8.2172281192520185E-6</v>
          </cell>
          <cell r="H47">
            <v>8.2274337796552596E-6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E49">
            <v>1.5806548997101099E-4</v>
          </cell>
          <cell r="F49">
            <v>1.5872155008966548E-4</v>
          </cell>
          <cell r="G49">
            <v>1.6022122984022061E-4</v>
          </cell>
          <cell r="H49">
            <v>3.9322020502506692E-4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E50">
            <v>6.2412360827987817E-2</v>
          </cell>
          <cell r="F50">
            <v>6.2412466331608733E-2</v>
          </cell>
          <cell r="G50">
            <v>6.2424026286440948E-2</v>
          </cell>
          <cell r="H50">
            <v>1.4085897002517889E-5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E51">
            <v>0.35499975552912671</v>
          </cell>
          <cell r="F51">
            <v>0.40994991267417558</v>
          </cell>
          <cell r="G51">
            <v>0.16920267406230699</v>
          </cell>
          <cell r="H51">
            <v>0.16919959716947897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H52">
            <v>1.10415325401401E-5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E53">
            <v>8.5749600343982199E-3</v>
          </cell>
          <cell r="F53">
            <v>8.5749329210816159E-3</v>
          </cell>
          <cell r="G53">
            <v>8.5750499983268703E-3</v>
          </cell>
          <cell r="H53">
            <v>1.0005956951480294E-5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E54">
            <v>1.9844834900660528</v>
          </cell>
          <cell r="F54">
            <v>1.9844835718736442</v>
          </cell>
          <cell r="G54">
            <v>1.9844836670648831</v>
          </cell>
          <cell r="H54">
            <v>1.9844837789369476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H55">
            <v>1.39743624246969E-7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E56">
            <v>0.11258825959024969</v>
          </cell>
          <cell r="F56">
            <v>0.1247646776139875</v>
          </cell>
          <cell r="G56">
            <v>0.12058095882365599</v>
          </cell>
          <cell r="H56">
            <v>0.12437518544043411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H57">
            <v>0.34128036963513902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G58">
            <v>1.4339096448499721E-6</v>
          </cell>
          <cell r="H58">
            <v>1.7068374573268985E-6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E59">
            <v>0.42552483871424729</v>
          </cell>
          <cell r="F59">
            <v>4.8055462508963732E-2</v>
          </cell>
          <cell r="G59">
            <v>0.46430835455828051</v>
          </cell>
          <cell r="H59">
            <v>3.5865585028283936E-3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E61">
            <v>9.679373517344608</v>
          </cell>
          <cell r="F61">
            <v>10.726197569728241</v>
          </cell>
          <cell r="G61">
            <v>10.366517288582315</v>
          </cell>
          <cell r="H61">
            <v>10.692712371150463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E63">
            <v>9.679373517344608</v>
          </cell>
          <cell r="F63">
            <v>10.726197569728241</v>
          </cell>
          <cell r="G63">
            <v>10.366517288582315</v>
          </cell>
          <cell r="H63">
            <v>10.692712371150463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H64">
            <v>2.3621859652156956E-4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E65">
            <v>5.5118135548035685</v>
          </cell>
          <cell r="F65">
            <v>1.7216153619344874</v>
          </cell>
          <cell r="G65">
            <v>1.138654863766051</v>
          </cell>
          <cell r="H65">
            <v>2.9788998226417376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E66">
            <v>0.28709266564538216</v>
          </cell>
          <cell r="F66">
            <v>0.14079082464344669</v>
          </cell>
          <cell r="G66">
            <v>0.20166931540215083</v>
          </cell>
          <cell r="H66">
            <v>6.3337346706575154E-3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E67">
            <v>26.982811086897318</v>
          </cell>
          <cell r="F67">
            <v>26.686131952812307</v>
          </cell>
          <cell r="G67">
            <v>24.573203240972994</v>
          </cell>
          <cell r="H67">
            <v>22.755408357785878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E68">
            <v>46.995096701609548</v>
          </cell>
          <cell r="F68">
            <v>45.400616132742293</v>
          </cell>
          <cell r="G68">
            <v>47.782308832628871</v>
          </cell>
          <cell r="H68">
            <v>43.703239012963891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E69">
            <v>37.261574142505708</v>
          </cell>
          <cell r="F69">
            <v>32.770817102636464</v>
          </cell>
          <cell r="G69">
            <v>33.461312296754379</v>
          </cell>
          <cell r="H69">
            <v>31.55318648697542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E70">
            <v>310.86628449092098</v>
          </cell>
          <cell r="F70">
            <v>97.099106413104906</v>
          </cell>
          <cell r="G70">
            <v>64.220134316405293</v>
          </cell>
          <cell r="H70">
            <v>168.00994999699401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E71">
            <v>688.81204010383703</v>
          </cell>
          <cell r="F71">
            <v>659.57576137618003</v>
          </cell>
          <cell r="G71">
            <v>621.78805166626796</v>
          </cell>
          <cell r="H71">
            <v>485.17533603775701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E72">
            <v>16.1920263423996</v>
          </cell>
          <cell r="F72">
            <v>7.9406025098904003</v>
          </cell>
          <cell r="G72">
            <v>11.3741493886813</v>
          </cell>
          <cell r="H72">
            <v>0.35722263542508398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E73">
            <v>1521.83054530101</v>
          </cell>
          <cell r="F73">
            <v>1505.0978421386101</v>
          </cell>
          <cell r="G73">
            <v>1385.92866279088</v>
          </cell>
          <cell r="H73">
            <v>1283.4050313791199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E74">
            <v>2650.5234539707799</v>
          </cell>
          <cell r="F74">
            <v>2560.5947498866699</v>
          </cell>
          <cell r="G74">
            <v>2694.9222181602699</v>
          </cell>
          <cell r="H74">
            <v>2464.8626803311599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E75">
            <v>2267.7886430973299</v>
          </cell>
          <cell r="F75">
            <v>1978.75493190877</v>
          </cell>
          <cell r="G75">
            <v>2028.0269831825201</v>
          </cell>
          <cell r="H75">
            <v>1465.8414138988501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E76">
            <v>4514.4829169642198</v>
          </cell>
          <cell r="F76">
            <v>3846.5261273986298</v>
          </cell>
          <cell r="G76">
            <v>3821.8849419166399</v>
          </cell>
          <cell r="H76">
            <v>2498.3393055747301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E77">
            <v>5943.7237556411001</v>
          </cell>
          <cell r="F77">
            <v>5512.9551094266999</v>
          </cell>
          <cell r="G77">
            <v>5244.1425032564202</v>
          </cell>
          <cell r="H77">
            <v>3161.8796341736702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E78">
            <v>2101.5527816373201</v>
          </cell>
          <cell r="F78">
            <v>1848.2740845886999</v>
          </cell>
          <cell r="G78">
            <v>1887.2180135369499</v>
          </cell>
          <cell r="H78">
            <v>1779.59971786542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E79">
            <v>5.6979691452091501</v>
          </cell>
          <cell r="F79">
            <v>1.716154071466393</v>
          </cell>
          <cell r="G79">
            <v>1.2461769145058175</v>
          </cell>
          <cell r="H79">
            <v>3.5830320128036641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E80">
            <v>9.1900688778251229</v>
          </cell>
          <cell r="F80">
            <v>8.8000010514875449</v>
          </cell>
          <cell r="G80">
            <v>8.2958656740706544</v>
          </cell>
          <cell r="H80">
            <v>7.372668259312972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E83">
            <v>2.9713152671641083</v>
          </cell>
          <cell r="F83">
            <v>2.9709411541170097</v>
          </cell>
          <cell r="G83">
            <v>4.4328121888229681</v>
          </cell>
          <cell r="H83">
            <v>3.184639869045085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H86">
            <v>2.1353509954453416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H87">
            <v>6.2081480995084095E-6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H88">
            <v>6.1981200574263848E-6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E89">
            <v>1.1764723346029966</v>
          </cell>
          <cell r="F89">
            <v>4.2636163528457924</v>
          </cell>
          <cell r="G89">
            <v>4.1150915266737194</v>
          </cell>
          <cell r="H89">
            <v>4.11505686983645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E90">
            <v>0.20435843424904362</v>
          </cell>
          <cell r="F90">
            <v>1.8770036876915233E-5</v>
          </cell>
          <cell r="G90">
            <v>0.11149835833530476</v>
          </cell>
          <cell r="H90">
            <v>0.6155728303085819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E92">
            <v>2.3223154863957634E-2</v>
          </cell>
          <cell r="F92">
            <v>1.5325964309500178E-2</v>
          </cell>
          <cell r="G92">
            <v>2.0378997529361852E-2</v>
          </cell>
          <cell r="H92">
            <v>2.5768975259022123E-4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E93">
            <v>0.30806251935707485</v>
          </cell>
          <cell r="F93">
            <v>1.8931932888170695</v>
          </cell>
          <cell r="G93">
            <v>0.46542608407904179</v>
          </cell>
          <cell r="H93">
            <v>6.9654312507220085E-4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E94">
            <v>0.31238559329190579</v>
          </cell>
          <cell r="F94">
            <v>2.3550671509126579</v>
          </cell>
          <cell r="G94">
            <v>0.53038513272785937</v>
          </cell>
          <cell r="H94">
            <v>6.9868790494325697E-4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E95">
            <v>0.32845188208644693</v>
          </cell>
          <cell r="F95">
            <v>1.9078613225042518E-5</v>
          </cell>
          <cell r="G95">
            <v>2.9874082755907003</v>
          </cell>
          <cell r="H95">
            <v>3.4978296326195717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E96">
            <v>9.3461606526979164</v>
          </cell>
          <cell r="F96">
            <v>8.949467589907476</v>
          </cell>
          <cell r="G96">
            <v>8.4367442559873496</v>
          </cell>
          <cell r="H96">
            <v>6.5831117508515149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E97">
            <v>30.770537898199827</v>
          </cell>
          <cell r="F97">
            <v>26.848777909209947</v>
          </cell>
          <cell r="G97">
            <v>27.517326773168527</v>
          </cell>
          <cell r="H97">
            <v>19.889300052901671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E98">
            <v>61.2548564038565</v>
          </cell>
          <cell r="F98">
            <v>52.19167065669776</v>
          </cell>
          <cell r="G98">
            <v>51.857326213251604</v>
          </cell>
          <cell r="H98">
            <v>33.898769410783331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E99">
            <v>3.798085649147819</v>
          </cell>
          <cell r="F99">
            <v>12.115548025655132</v>
          </cell>
          <cell r="G99">
            <v>12.540331484817028</v>
          </cell>
          <cell r="H99">
            <v>12.540425793035288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E100">
            <v>0.30932912473665458</v>
          </cell>
          <cell r="F100">
            <v>0.1564698182051345</v>
          </cell>
          <cell r="G100">
            <v>0.22224694212431398</v>
          </cell>
          <cell r="H100">
            <v>6.7646293708096923E-3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E101">
            <v>9.4371143314357262</v>
          </cell>
          <cell r="F101">
            <v>10.11312009624878</v>
          </cell>
          <cell r="G101">
            <v>6.3085467947235054</v>
          </cell>
          <cell r="H101">
            <v>3.356303808564395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E102">
            <v>80.538262271559617</v>
          </cell>
          <cell r="F102">
            <v>74.701288745619181</v>
          </cell>
          <cell r="G102">
            <v>71.058841507539654</v>
          </cell>
          <cell r="H102">
            <v>42.843897482028098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E103">
            <v>0.43672788829695591</v>
          </cell>
          <cell r="F103">
            <v>0.552066785112303</v>
          </cell>
          <cell r="G103">
            <v>1.7181878395373353</v>
          </cell>
          <cell r="H103">
            <v>4.5887008579231034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E104">
            <v>27.203967279510259</v>
          </cell>
          <cell r="F104">
            <v>28.488315909593684</v>
          </cell>
          <cell r="G104">
            <v>24.958895149710372</v>
          </cell>
          <cell r="H104">
            <v>22.683637796084472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H105">
            <v>3.5200717662233112E-6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H106">
            <v>1.4288379432993645E-5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H107">
            <v>3.5766869054074765E-6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H108">
            <v>3.516195626138007E-6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3.6754251352248625E-6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H111">
            <v>3.1922621951404763E-6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H112">
            <v>1.2976263645976474E-5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H113">
            <v>3.4245561801884899E-6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H114">
            <v>3.1486417954185451E-6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3.2108034752289401E-6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E118">
            <v>2.5538869309411267E-3</v>
          </cell>
          <cell r="F118">
            <v>2.6010142187142629E-3</v>
          </cell>
          <cell r="G118">
            <v>2.6005748133837692E-3</v>
          </cell>
          <cell r="H118">
            <v>2.5940530534279784E-3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H119">
            <v>6.136138856852121E-6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H120">
            <v>3.5200717662233112E-6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H121">
            <v>1.4288379432993645E-5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H122">
            <v>3.5766869054074765E-6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H123">
            <v>3.516195626138007E-6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H124">
            <v>3.6754251352248625E-6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F125">
            <v>8.5207340009548708E-4</v>
          </cell>
          <cell r="G125">
            <v>9.0748739423878626E-4</v>
          </cell>
          <cell r="H125">
            <v>1.9735584921287412E-4</v>
          </cell>
        </row>
        <row r="126">
          <cell r="A126" t="str">
            <v>AUX_H2STG_OUT</v>
          </cell>
          <cell r="B126" t="str">
            <v>VAR_fout</v>
          </cell>
          <cell r="C126" t="str">
            <v>STG-H2</v>
          </cell>
          <cell r="H126">
            <v>3.1922621951404763E-6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H127">
            <v>1.2976263645976474E-5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H128">
            <v>3.4245561801884899E-6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H129">
            <v>3.1486417954185451E-6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H130">
            <v>3.2108034752289401E-6</v>
          </cell>
        </row>
        <row r="131">
          <cell r="A131" t="str">
            <v>RNGA</v>
          </cell>
          <cell r="B131" t="str">
            <v>VAR_fout</v>
          </cell>
          <cell r="C131" t="str">
            <v>D-RNGA</v>
          </cell>
          <cell r="E131">
            <v>47.156834148818611</v>
          </cell>
          <cell r="F131">
            <v>47.60360786550536</v>
          </cell>
          <cell r="G131">
            <v>48.158844776495272</v>
          </cell>
          <cell r="H131">
            <v>43.564764849730594</v>
          </cell>
        </row>
        <row r="132">
          <cell r="A132" t="str">
            <v>CWOD</v>
          </cell>
          <cell r="B132" t="str">
            <v>VAR_fout</v>
          </cell>
          <cell r="C132" t="str">
            <v>D-CWOD</v>
          </cell>
          <cell r="E132">
            <v>9.4371143314357262</v>
          </cell>
          <cell r="F132">
            <v>10.11312009624878</v>
          </cell>
          <cell r="G132">
            <v>6.3085467947235054</v>
          </cell>
          <cell r="H132">
            <v>3.356303808564395</v>
          </cell>
        </row>
        <row r="133">
          <cell r="A133" t="str">
            <v>CWOD</v>
          </cell>
          <cell r="B133" t="str">
            <v>VAR_fin</v>
          </cell>
          <cell r="C133" t="str">
            <v>SUP_WODBIO</v>
          </cell>
          <cell r="F133">
            <v>4.0398518636556609E-5</v>
          </cell>
          <cell r="G133">
            <v>8.6959231080852741E-5</v>
          </cell>
          <cell r="H133">
            <v>9.9468406783957908E-5</v>
          </cell>
        </row>
        <row r="134">
          <cell r="A134" t="str">
            <v>CWOD</v>
          </cell>
          <cell r="B134" t="str">
            <v>VAR_fin</v>
          </cell>
          <cell r="C134" t="str">
            <v>CT_CWODBDS</v>
          </cell>
          <cell r="E134">
            <v>1.8380974709845401</v>
          </cell>
          <cell r="F134">
            <v>1.8158501949240275</v>
          </cell>
          <cell r="G134">
            <v>3.4302934875517743</v>
          </cell>
          <cell r="H134">
            <v>1.1489824245681863E-4</v>
          </cell>
        </row>
        <row r="135">
          <cell r="A135" t="str">
            <v>CWOD</v>
          </cell>
          <cell r="B135" t="str">
            <v>VAR_fin</v>
          </cell>
          <cell r="C135" t="str">
            <v>CT_CWODPLT</v>
          </cell>
          <cell r="E135">
            <v>7.1186166425190383</v>
          </cell>
          <cell r="F135">
            <v>8.2972059910807179</v>
          </cell>
          <cell r="G135">
            <v>2.3977634511675285</v>
          </cell>
          <cell r="H135">
            <v>3.3560676109802796</v>
          </cell>
        </row>
        <row r="136">
          <cell r="A136" t="str">
            <v>CWOD</v>
          </cell>
          <cell r="B136" t="str">
            <v>VAR_fin</v>
          </cell>
          <cell r="C136" t="str">
            <v>CT_CWODETH</v>
          </cell>
          <cell r="E136">
            <v>0.4804002179321451</v>
          </cell>
          <cell r="F136">
            <v>2.3511725398876152E-5</v>
          </cell>
          <cell r="G136">
            <v>0.48040283749699741</v>
          </cell>
          <cell r="H136">
            <v>3.8344570325153522E-5</v>
          </cell>
        </row>
        <row r="137">
          <cell r="A137" t="str">
            <v>BDS</v>
          </cell>
          <cell r="B137" t="str">
            <v>VAR_fout</v>
          </cell>
          <cell r="C137" t="str">
            <v>IMPBDS</v>
          </cell>
          <cell r="E137">
            <v>2.370970244669214</v>
          </cell>
          <cell r="F137">
            <v>2.3780127404933968</v>
          </cell>
          <cell r="G137">
            <v>3.2956764444540254</v>
          </cell>
          <cell r="H137">
            <v>4.1637311895584634</v>
          </cell>
        </row>
        <row r="138">
          <cell r="A138" t="str">
            <v>BDS</v>
          </cell>
          <cell r="B138" t="str">
            <v>VAR_fout</v>
          </cell>
          <cell r="C138" t="str">
            <v>CT_CWODBDS</v>
          </cell>
          <cell r="E138">
            <v>0.64505964940675253</v>
          </cell>
          <cell r="F138">
            <v>0.63725221790630937</v>
          </cell>
          <cell r="G138">
            <v>1.2038229470264161</v>
          </cell>
          <cell r="H138">
            <v>4.0322246870264504E-5</v>
          </cell>
        </row>
        <row r="139">
          <cell r="A139" t="str">
            <v>BDS</v>
          </cell>
          <cell r="B139" t="str">
            <v>VAR_fin</v>
          </cell>
          <cell r="C139" t="str">
            <v>D-ILFO</v>
          </cell>
          <cell r="G139">
            <v>2.5536296910440435E-5</v>
          </cell>
          <cell r="H139">
            <v>0.9147804299779575</v>
          </cell>
        </row>
        <row r="140">
          <cell r="A140" t="str">
            <v>BDS</v>
          </cell>
          <cell r="B140" t="str">
            <v>VAR_fin</v>
          </cell>
          <cell r="C140" t="str">
            <v>D-SLFO</v>
          </cell>
          <cell r="G140">
            <v>2.1748458666761112E-5</v>
          </cell>
          <cell r="H140">
            <v>6.7070901476700952E-5</v>
          </cell>
        </row>
        <row r="141">
          <cell r="A141" t="str">
            <v>BDS</v>
          </cell>
          <cell r="B141" t="str">
            <v>VAR_fin</v>
          </cell>
          <cell r="C141" t="str">
            <v>D-RLFO</v>
          </cell>
          <cell r="G141">
            <v>2.1821238439786504E-5</v>
          </cell>
          <cell r="H141">
            <v>6.7404143322154079E-5</v>
          </cell>
        </row>
        <row r="142">
          <cell r="A142" t="str">
            <v>BDS</v>
          </cell>
          <cell r="B142" t="str">
            <v>VAR_fin</v>
          </cell>
          <cell r="C142" t="str">
            <v>D-TBDS1</v>
          </cell>
          <cell r="E142">
            <v>3.0160298940759662</v>
          </cell>
          <cell r="F142">
            <v>3.0152649583997069</v>
          </cell>
          <cell r="G142">
            <v>4.4994310189103395</v>
          </cell>
          <cell r="H142">
            <v>3.2488571592449906</v>
          </cell>
        </row>
        <row r="143">
          <cell r="A143" t="str">
            <v>BIO</v>
          </cell>
          <cell r="B143" t="str">
            <v>VAR_fout</v>
          </cell>
          <cell r="C143" t="str">
            <v>SUP_WSTHTGBIO</v>
          </cell>
        </row>
        <row r="144">
          <cell r="A144" t="str">
            <v>BIO</v>
          </cell>
          <cell r="B144" t="str">
            <v>VAR_fout</v>
          </cell>
          <cell r="C144" t="str">
            <v>SUP_WSTBIO</v>
          </cell>
          <cell r="E144">
            <v>5.629412979512491</v>
          </cell>
          <cell r="F144">
            <v>6.2382338806993749</v>
          </cell>
          <cell r="G144">
            <v>6.029047941182804</v>
          </cell>
          <cell r="H144">
            <v>6.2187592720217086</v>
          </cell>
        </row>
        <row r="145">
          <cell r="A145" t="str">
            <v>BIO</v>
          </cell>
          <cell r="B145" t="str">
            <v>VAR_fout</v>
          </cell>
          <cell r="C145" t="str">
            <v>D-LBIO</v>
          </cell>
          <cell r="H145">
            <v>2.1353509954453416</v>
          </cell>
        </row>
        <row r="146">
          <cell r="A146" t="str">
            <v>BIO</v>
          </cell>
          <cell r="B146" t="str">
            <v>VAR_fout</v>
          </cell>
          <cell r="C146" t="str">
            <v>SUP_MNRBIO</v>
          </cell>
          <cell r="E146">
            <v>1.3280019752265102</v>
          </cell>
          <cell r="F146">
            <v>4.2362056033759155</v>
          </cell>
          <cell r="G146">
            <v>4.3847312883975667</v>
          </cell>
          <cell r="H146">
            <v>4.384764263299056</v>
          </cell>
        </row>
        <row r="147">
          <cell r="A147" t="str">
            <v>BIO</v>
          </cell>
          <cell r="B147" t="str">
            <v>VAR_fout</v>
          </cell>
          <cell r="C147" t="str">
            <v>SUP_WODBIO</v>
          </cell>
          <cell r="F147">
            <v>2.9924828619671559E-5</v>
          </cell>
          <cell r="G147">
            <v>6.4414245245076102E-5</v>
          </cell>
          <cell r="H147">
            <v>7.3680301321450307E-5</v>
          </cell>
        </row>
        <row r="148">
          <cell r="A148" t="str">
            <v>BIO</v>
          </cell>
          <cell r="B148" t="str">
            <v>VAR_fin</v>
          </cell>
          <cell r="C148" t="str">
            <v>D-IBIO</v>
          </cell>
          <cell r="E148">
            <v>0.43672788829695591</v>
          </cell>
          <cell r="F148">
            <v>0.552066785112303</v>
          </cell>
          <cell r="G148">
            <v>1.7181878395373353</v>
          </cell>
          <cell r="H148">
            <v>4.5887008579231034</v>
          </cell>
        </row>
        <row r="149">
          <cell r="A149" t="str">
            <v>BIO</v>
          </cell>
          <cell r="B149" t="str">
            <v>VAR_fin</v>
          </cell>
          <cell r="C149" t="str">
            <v>D-EBIO</v>
          </cell>
          <cell r="E149">
            <v>1.1839529493940701</v>
          </cell>
          <cell r="F149">
            <v>1.1839506438818965</v>
          </cell>
          <cell r="G149">
            <v>1.1839511575705857</v>
          </cell>
          <cell r="H149">
            <v>1.1839500793150159</v>
          </cell>
        </row>
        <row r="150">
          <cell r="A150" t="str">
            <v>BIO</v>
          </cell>
          <cell r="B150" t="str">
            <v>VAR_fin</v>
          </cell>
          <cell r="C150" t="str">
            <v>D-CBIO</v>
          </cell>
          <cell r="E150">
            <v>1.2890720728256426</v>
          </cell>
          <cell r="F150">
            <v>4.6716855195331997</v>
          </cell>
          <cell r="G150">
            <v>4.5089454363978714</v>
          </cell>
          <cell r="H150">
            <v>4.5089074625673478</v>
          </cell>
        </row>
        <row r="151">
          <cell r="A151" t="str">
            <v>BIO</v>
          </cell>
          <cell r="B151" t="str">
            <v>VAR_fin</v>
          </cell>
          <cell r="C151" t="str">
            <v>D-SBIO</v>
          </cell>
          <cell r="E151">
            <v>4.0476745403392496</v>
          </cell>
          <cell r="F151">
            <v>4.5832723595517715</v>
          </cell>
          <cell r="G151">
            <v>3.0423987923177669</v>
          </cell>
          <cell r="H151">
            <v>3.0321071621897415</v>
          </cell>
        </row>
        <row r="152">
          <cell r="A152" t="str">
            <v>TKERintl_SAF</v>
          </cell>
          <cell r="B152" t="str">
            <v>VAR_fout</v>
          </cell>
          <cell r="C152" t="str">
            <v>D-TBDS1intl</v>
          </cell>
          <cell r="H152">
            <v>5.0592856291484898</v>
          </cell>
        </row>
        <row r="153">
          <cell r="A153" t="str">
            <v>EBIO</v>
          </cell>
          <cell r="B153" t="str">
            <v>VAR_fout</v>
          </cell>
          <cell r="C153" t="str">
            <v>D-EBIO</v>
          </cell>
          <cell r="E153">
            <v>1.1839529493940701</v>
          </cell>
          <cell r="F153">
            <v>1.1839506438818965</v>
          </cell>
          <cell r="G153">
            <v>1.1839511575705857</v>
          </cell>
          <cell r="H153">
            <v>1.1839500793150159</v>
          </cell>
        </row>
        <row r="154">
          <cell r="A154" t="str">
            <v>PLT</v>
          </cell>
          <cell r="B154" t="str">
            <v>VAR_fout</v>
          </cell>
          <cell r="C154" t="str">
            <v>CT_CWODPLT</v>
          </cell>
          <cell r="E154">
            <v>5.9796379797159913</v>
          </cell>
          <cell r="F154">
            <v>6.9696530325077957</v>
          </cell>
          <cell r="G154">
            <v>2.0141212989807236</v>
          </cell>
          <cell r="H154">
            <v>2.8190967932234341</v>
          </cell>
        </row>
        <row r="155">
          <cell r="A155" t="str">
            <v>SLFO</v>
          </cell>
          <cell r="B155" t="str">
            <v>VAR_fout</v>
          </cell>
          <cell r="C155" t="str">
            <v>D-SLFO</v>
          </cell>
          <cell r="E155">
            <v>30.256634055456193</v>
          </cell>
          <cell r="F155">
            <v>26.400372028683567</v>
          </cell>
          <cell r="G155">
            <v>27.057776964062349</v>
          </cell>
          <cell r="H155">
            <v>19.557191665279888</v>
          </cell>
        </row>
        <row r="156">
          <cell r="A156" t="str">
            <v>ETH</v>
          </cell>
          <cell r="B156" t="str">
            <v>VAR_fout</v>
          </cell>
          <cell r="C156" t="str">
            <v>IMPETH</v>
          </cell>
          <cell r="E156">
            <v>4.4341506418825913</v>
          </cell>
          <cell r="F156">
            <v>4.3259844240819616</v>
          </cell>
          <cell r="G156">
            <v>3.8851868700954437</v>
          </cell>
          <cell r="H156">
            <v>2.4820303883816024</v>
          </cell>
        </row>
        <row r="157">
          <cell r="A157" t="str">
            <v>ETH</v>
          </cell>
          <cell r="B157" t="str">
            <v>VAR_fout</v>
          </cell>
          <cell r="C157" t="str">
            <v>CT_CWODETH</v>
          </cell>
          <cell r="E157">
            <v>0.22985656360389739</v>
          </cell>
          <cell r="F157">
            <v>1.1249629377452704E-5</v>
          </cell>
          <cell r="G157">
            <v>0.22985781698420915</v>
          </cell>
          <cell r="H157">
            <v>1.8346684366102156E-5</v>
          </cell>
        </row>
        <row r="158">
          <cell r="A158" t="str">
            <v>ETH</v>
          </cell>
          <cell r="B158" t="str">
            <v>VAR_fin</v>
          </cell>
          <cell r="C158" t="str">
            <v>D-TGSL</v>
          </cell>
          <cell r="E158">
            <v>4.6640072054864889</v>
          </cell>
          <cell r="F158">
            <v>4.3259956737113407</v>
          </cell>
          <cell r="G158">
            <v>4.115044745544238</v>
          </cell>
          <cell r="H158">
            <v>2.4820487930106023</v>
          </cell>
        </row>
        <row r="159">
          <cell r="A159" t="str">
            <v>TGSL</v>
          </cell>
          <cell r="B159" t="str">
            <v>VAR_fout</v>
          </cell>
          <cell r="C159" t="str">
            <v>D-TGSL</v>
          </cell>
          <cell r="E159">
            <v>83.950127976317987</v>
          </cell>
          <cell r="F159">
            <v>77.865890768713854</v>
          </cell>
          <cell r="G159">
            <v>74.06912294776194</v>
          </cell>
          <cell r="H159">
            <v>44.659830803997927</v>
          </cell>
        </row>
        <row r="160">
          <cell r="A160" t="str">
            <v>RLFO</v>
          </cell>
          <cell r="B160" t="str">
            <v>VAR_fout</v>
          </cell>
          <cell r="C160" t="str">
            <v>D-RLFO</v>
          </cell>
          <cell r="E160">
            <v>60.23182891578346</v>
          </cell>
          <cell r="F160">
            <v>51.320008932797357</v>
          </cell>
          <cell r="G160">
            <v>50.991269920340663</v>
          </cell>
          <cell r="H160">
            <v>33.332686750772716</v>
          </cell>
        </row>
        <row r="161">
          <cell r="A161" t="str">
            <v>CELC_E</v>
          </cell>
          <cell r="B161" t="str">
            <v>VAR_fout</v>
          </cell>
          <cell r="C161" t="str">
            <v>ESOL-PV_E</v>
          </cell>
          <cell r="H161">
            <v>8.6374744128263829E-6</v>
          </cell>
        </row>
        <row r="162">
          <cell r="A162" t="str">
            <v>CELC_E</v>
          </cell>
          <cell r="B162" t="str">
            <v>VAR_fin</v>
          </cell>
          <cell r="C162" t="str">
            <v>SUP_ELCH2_D</v>
          </cell>
          <cell r="H162">
            <v>8.5043124650800131E-6</v>
          </cell>
        </row>
        <row r="163">
          <cell r="A163" t="str">
            <v>CBIO</v>
          </cell>
          <cell r="B163" t="str">
            <v>VAR_fout</v>
          </cell>
          <cell r="C163" t="str">
            <v>D-CBIO</v>
          </cell>
          <cell r="E163">
            <v>1.2890720728256426</v>
          </cell>
          <cell r="F163">
            <v>4.6716855195331997</v>
          </cell>
          <cell r="G163">
            <v>4.5089454363978714</v>
          </cell>
          <cell r="H163">
            <v>4.5089074625673478</v>
          </cell>
        </row>
        <row r="164">
          <cell r="A164" t="str">
            <v>CBIO</v>
          </cell>
          <cell r="B164" t="str">
            <v>VAR_fin</v>
          </cell>
          <cell r="C164" t="str">
            <v>SUP_BIONGA</v>
          </cell>
          <cell r="E164">
            <v>1.2890720728256426</v>
          </cell>
          <cell r="F164">
            <v>4.6716855195331997</v>
          </cell>
          <cell r="G164">
            <v>4.5089454363978714</v>
          </cell>
          <cell r="H164">
            <v>4.5089074625673478</v>
          </cell>
        </row>
        <row r="165">
          <cell r="A165" t="str">
            <v>LTH</v>
          </cell>
          <cell r="B165" t="str">
            <v>VAR_fout</v>
          </cell>
          <cell r="C165" t="str">
            <v>SUP_WODBIO</v>
          </cell>
          <cell r="F165">
            <v>3.590979434360588E-6</v>
          </cell>
          <cell r="G165">
            <v>7.7297094294091306E-6</v>
          </cell>
          <cell r="H165">
            <v>8.8416361585740396E-6</v>
          </cell>
        </row>
        <row r="166">
          <cell r="A166" t="str">
            <v>LTH</v>
          </cell>
          <cell r="B166" t="str">
            <v>VAR_fout</v>
          </cell>
          <cell r="C166" t="str">
            <v>CT_CWODBDS</v>
          </cell>
          <cell r="E166">
            <v>0.251573263268633</v>
          </cell>
          <cell r="F166">
            <v>0.24852836498346009</v>
          </cell>
          <cell r="G166">
            <v>0.46949094934030172</v>
          </cell>
          <cell r="H166">
            <v>1.5725676279403134E-5</v>
          </cell>
        </row>
        <row r="167">
          <cell r="A167" t="str">
            <v>LTH</v>
          </cell>
          <cell r="B167" t="str">
            <v>VAR_fin</v>
          </cell>
          <cell r="C167" t="str">
            <v>D-CHEAT</v>
          </cell>
        </row>
        <row r="168">
          <cell r="A168" t="str">
            <v>LNGA</v>
          </cell>
          <cell r="B168" t="str">
            <v>VAR_fin</v>
          </cell>
          <cell r="C168" t="str">
            <v>D-LNGA</v>
          </cell>
          <cell r="H168">
            <v>2.3621859652156956E-4</v>
          </cell>
        </row>
        <row r="169">
          <cell r="A169" t="str">
            <v>WHEAT</v>
          </cell>
          <cell r="B169" t="str">
            <v>VAR_fin</v>
          </cell>
          <cell r="C169" t="str">
            <v>D-CHEAT</v>
          </cell>
        </row>
        <row r="170">
          <cell r="A170" t="str">
            <v>SOL</v>
          </cell>
          <cell r="B170" t="str">
            <v>VAR_fin</v>
          </cell>
          <cell r="C170" t="str">
            <v>ESOL-PV_A</v>
          </cell>
          <cell r="H170">
            <v>0.34128036963513902</v>
          </cell>
        </row>
        <row r="171">
          <cell r="A171" t="str">
            <v>SOL</v>
          </cell>
          <cell r="B171" t="str">
            <v>VAR_fin</v>
          </cell>
          <cell r="C171" t="str">
            <v>ESOL-PV_E</v>
          </cell>
          <cell r="H171">
            <v>8.6374744128263829E-6</v>
          </cell>
        </row>
        <row r="172">
          <cell r="A172" t="str">
            <v>TKER</v>
          </cell>
          <cell r="B172" t="str">
            <v>VAR_fout</v>
          </cell>
          <cell r="C172" t="str">
            <v>D-TBDS1</v>
          </cell>
          <cell r="E172">
            <v>3.9081036054261899E-4</v>
          </cell>
          <cell r="F172">
            <v>1.2177234380080199E-5</v>
          </cell>
          <cell r="G172">
            <v>4.9472060891920101E-4</v>
          </cell>
          <cell r="H172">
            <v>1.6472102665924599E-2</v>
          </cell>
        </row>
        <row r="173">
          <cell r="A173" t="str">
            <v>BDS1</v>
          </cell>
          <cell r="B173" t="str">
            <v>VAR_fout</v>
          </cell>
          <cell r="C173" t="str">
            <v>IMPBDS1</v>
          </cell>
          <cell r="H173">
            <v>5.0592856291484898</v>
          </cell>
        </row>
        <row r="174">
          <cell r="A174" t="str">
            <v>BDS1</v>
          </cell>
          <cell r="B174" t="str">
            <v>VAR_fin</v>
          </cell>
          <cell r="C174" t="str">
            <v>D-TBDS1intl</v>
          </cell>
          <cell r="H174">
            <v>5.0592856291484898</v>
          </cell>
        </row>
        <row r="175">
          <cell r="A175" t="str">
            <v>CELC</v>
          </cell>
          <cell r="B175" t="str">
            <v>VAR_fout</v>
          </cell>
          <cell r="C175" t="str">
            <v>D-CELC</v>
          </cell>
          <cell r="E175">
            <v>0.42552483871424729</v>
          </cell>
          <cell r="F175">
            <v>4.8055462508963732E-2</v>
          </cell>
          <cell r="G175">
            <v>0.46430835455828051</v>
          </cell>
          <cell r="H175">
            <v>3.5865585028283936E-3</v>
          </cell>
        </row>
        <row r="176">
          <cell r="A176" t="str">
            <v>CELC</v>
          </cell>
          <cell r="B176" t="str">
            <v>VAR_fin</v>
          </cell>
          <cell r="C176" t="str">
            <v>SUP_ELCH2_SOEC</v>
          </cell>
        </row>
        <row r="177">
          <cell r="A177" t="str">
            <v>CELC</v>
          </cell>
          <cell r="B177" t="str">
            <v>VAR_fin</v>
          </cell>
          <cell r="C177" t="str">
            <v>SUP_ELCH2</v>
          </cell>
          <cell r="E177">
            <v>3.7283020889651475E-3</v>
          </cell>
          <cell r="F177">
            <v>3.7478591047755958E-3</v>
          </cell>
          <cell r="G177">
            <v>3.6757241178569161E-3</v>
          </cell>
          <cell r="H177">
            <v>3.5534973334629856E-3</v>
          </cell>
        </row>
        <row r="178">
          <cell r="A178" t="str">
            <v>CELC</v>
          </cell>
          <cell r="B178" t="str">
            <v>VAR_fin</v>
          </cell>
          <cell r="C178" t="str">
            <v>CT_CWODBDS</v>
          </cell>
          <cell r="E178">
            <v>4.4831645633769304E-2</v>
          </cell>
          <cell r="F178">
            <v>4.4289029144488491E-2</v>
          </cell>
          <cell r="G178">
            <v>8.3665694818335967E-2</v>
          </cell>
          <cell r="H178">
            <v>2.8023961574833818E-6</v>
          </cell>
        </row>
        <row r="179">
          <cell r="A179" t="str">
            <v>CELC</v>
          </cell>
          <cell r="B179" t="str">
            <v>VAR_fin</v>
          </cell>
          <cell r="C179" t="str">
            <v>CT_CWODETH</v>
          </cell>
          <cell r="E179">
            <v>0.37696476431039161</v>
          </cell>
          <cell r="F179">
            <v>1.8449392179022438E-5</v>
          </cell>
          <cell r="G179">
            <v>0.37696681985410307</v>
          </cell>
          <cell r="H179">
            <v>3.0088562360407584E-5</v>
          </cell>
        </row>
        <row r="180">
          <cell r="A180" t="str">
            <v>SBIO</v>
          </cell>
          <cell r="B180" t="str">
            <v>VAR_fout</v>
          </cell>
          <cell r="C180" t="str">
            <v>D-SBIO</v>
          </cell>
          <cell r="E180">
            <v>4.0476745403392496</v>
          </cell>
          <cell r="F180">
            <v>4.5832723595517715</v>
          </cell>
          <cell r="G180">
            <v>3.0423987923177669</v>
          </cell>
          <cell r="H180">
            <v>3.0321071621897415</v>
          </cell>
        </row>
        <row r="181">
          <cell r="A181" t="str">
            <v>INGA</v>
          </cell>
          <cell r="B181" t="str">
            <v>VAR_fout</v>
          </cell>
          <cell r="C181" t="str">
            <v>D-INGA</v>
          </cell>
          <cell r="E181">
            <v>37.470322598049435</v>
          </cell>
          <cell r="F181">
            <v>32.66647810036698</v>
          </cell>
          <cell r="G181">
            <v>36.33265157194711</v>
          </cell>
          <cell r="H181">
            <v>34.939394332226712</v>
          </cell>
        </row>
        <row r="182">
          <cell r="A182" t="str">
            <v>WSTREN</v>
          </cell>
          <cell r="B182" t="str">
            <v>VAR_fin</v>
          </cell>
          <cell r="C182" t="str">
            <v>D-CWST</v>
          </cell>
          <cell r="E182">
            <v>9.679373517344608</v>
          </cell>
          <cell r="F182">
            <v>10.726197569728241</v>
          </cell>
          <cell r="G182">
            <v>10.366517288582315</v>
          </cell>
          <cell r="H182">
            <v>10.692712371150463</v>
          </cell>
        </row>
        <row r="183">
          <cell r="A183" t="str">
            <v>SOLPVC</v>
          </cell>
          <cell r="B183" t="str">
            <v>VAR_fin</v>
          </cell>
          <cell r="C183" t="str">
            <v>ESOL-PV_A</v>
          </cell>
          <cell r="H183">
            <v>0.34128036963513902</v>
          </cell>
        </row>
        <row r="184">
          <cell r="A184" t="str">
            <v>SOLPVC</v>
          </cell>
          <cell r="B184" t="str">
            <v>VAR_fin</v>
          </cell>
          <cell r="C184" t="str">
            <v>ESOL-PV_E</v>
          </cell>
          <cell r="H184">
            <v>8.6374744128263796E-6</v>
          </cell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1.7874193020961399E-2</v>
          </cell>
          <cell r="E4">
            <v>1.78809044397308E-2</v>
          </cell>
          <cell r="F4">
            <v>1.78230608348969E-2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4.426930768547296E-3</v>
          </cell>
          <cell r="E5">
            <v>3.5466951739758553E-3</v>
          </cell>
          <cell r="F5">
            <v>2.2166544296587658E-3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3.1691831597449257E-4</v>
          </cell>
          <cell r="E6">
            <v>3.1703731276118408E-4</v>
          </cell>
          <cell r="F6">
            <v>3.1601171693079684E-4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3.5369432570640189</v>
          </cell>
          <cell r="E8">
            <v>0.22953966408206086</v>
          </cell>
          <cell r="F8">
            <v>0.32036272725501241</v>
          </cell>
          <cell r="G8">
            <v>0.30688233180518387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6.4733369774244778E-3</v>
          </cell>
          <cell r="E9">
            <v>4.2295342068182016E-4</v>
          </cell>
          <cell r="F9">
            <v>5.9095158337577113E-4</v>
          </cell>
          <cell r="G9">
            <v>5.9501799931725512E-4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6.2711759877021683E-2</v>
          </cell>
          <cell r="E10">
            <v>4.0698522000365313E-3</v>
          </cell>
          <cell r="F10">
            <v>5.6801901995569533E-3</v>
          </cell>
          <cell r="G10">
            <v>5.4411760958365859E-3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1.53180756482405E-7</v>
          </cell>
          <cell r="F11">
            <v>3.10256686696705E-7</v>
          </cell>
          <cell r="G11">
            <v>8.0305179427540792E-6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1.1229651511720411E-5</v>
          </cell>
          <cell r="F12">
            <v>1.1235297574274707E-5</v>
          </cell>
          <cell r="G12">
            <v>1.1240644340637101E-5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2.1177649096650012E-4</v>
          </cell>
          <cell r="E13">
            <v>4.8542073686185416E-4</v>
          </cell>
          <cell r="F13">
            <v>4.8506159047711979E-4</v>
          </cell>
          <cell r="G13">
            <v>5.145833877758997E-4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2.1177649096650012E-4</v>
          </cell>
          <cell r="E14">
            <v>4.8542073686185416E-4</v>
          </cell>
          <cell r="F14">
            <v>4.8506159047711979E-4</v>
          </cell>
          <cell r="G14">
            <v>5.145833877758997E-4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2.7355704315176098E-5</v>
          </cell>
          <cell r="F15">
            <v>1.9891121305505801E-5</v>
          </cell>
          <cell r="G15">
            <v>2.03150501720048E-5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2.5986958870288964E-5</v>
          </cell>
          <cell r="E16">
            <v>5.2852226417770398E-5</v>
          </cell>
          <cell r="F16">
            <v>7.0612038435012206E-5</v>
          </cell>
          <cell r="G16">
            <v>7.5670158837537699E-5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2.7508551380735608E-3</v>
          </cell>
          <cell r="E17">
            <v>6.6967223268505011E-3</v>
          </cell>
          <cell r="F17">
            <v>6.4174225023840301E-3</v>
          </cell>
          <cell r="G17">
            <v>1.67166583851276E-3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1.0236587003270479E-2</v>
          </cell>
          <cell r="E18">
            <v>2.4766701312120835E-2</v>
          </cell>
          <cell r="F18">
            <v>2.3705073276627919E-2</v>
          </cell>
          <cell r="G18">
            <v>6.1072554479724688E-3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1.40092202765573E-5</v>
          </cell>
          <cell r="F19">
            <v>2.7543807978154398E-6</v>
          </cell>
          <cell r="G19">
            <v>3.1432943989389799E-6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1.2600922027655731E-4</v>
          </cell>
          <cell r="F20">
            <v>1.212204188182948E-4</v>
          </cell>
          <cell r="G20">
            <v>3.1619947487766505E-5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4.8350139795772067E-2</v>
          </cell>
          <cell r="E21">
            <v>9.8575763167061181E-2</v>
          </cell>
          <cell r="F21">
            <v>9.5225852403282574E-2</v>
          </cell>
          <cell r="G21">
            <v>7.7802635924345956E-2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4.8350139795772067E-2</v>
          </cell>
          <cell r="E22">
            <v>9.8575763167061181E-2</v>
          </cell>
          <cell r="F22">
            <v>9.5225852403282574E-2</v>
          </cell>
          <cell r="G22">
            <v>7.7802635924345956E-2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1.02856912284019E-5</v>
          </cell>
          <cell r="F23">
            <v>2.72595851980816E-5</v>
          </cell>
          <cell r="G23">
            <v>3.16098096613007E-5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4.8859162891070505E-3</v>
          </cell>
          <cell r="E24">
            <v>7.4792660172568071E-3</v>
          </cell>
          <cell r="F24">
            <v>7.2309321377656182E-3</v>
          </cell>
          <cell r="G24">
            <v>5.9067116107414551E-3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10.916050699432997</v>
          </cell>
          <cell r="E25">
            <v>12.399831988564626</v>
          </cell>
          <cell r="F25">
            <v>15.818712588345479</v>
          </cell>
          <cell r="G25">
            <v>32.265657119554739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2.3129309615382331E-3</v>
          </cell>
          <cell r="E27">
            <v>0.12108199281861527</v>
          </cell>
          <cell r="F27">
            <v>0.20428233203167137</v>
          </cell>
          <cell r="G27">
            <v>2.1053308095114054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5.1996952185084148E-2</v>
          </cell>
          <cell r="E28">
            <v>3.7627642668563055E-4</v>
          </cell>
          <cell r="F28">
            <v>4.4239941836311239E-4</v>
          </cell>
          <cell r="G28">
            <v>4.147745247870475E-4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4.4601005721474969E-2</v>
          </cell>
          <cell r="E29">
            <v>3.7167026690542446E-4</v>
          </cell>
          <cell r="F29">
            <v>4.3708967549638587E-4</v>
          </cell>
          <cell r="G29">
            <v>1.3711272836873811E-3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10.817139810564898</v>
          </cell>
          <cell r="E30">
            <v>12.278006900946197</v>
          </cell>
          <cell r="F30">
            <v>15.613560964250466</v>
          </cell>
          <cell r="G30">
            <v>30.158546566690006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5.4079558753259836E-2</v>
          </cell>
          <cell r="E31">
            <v>0.6091925509147561</v>
          </cell>
          <cell r="F31">
            <v>1.1969037225828512</v>
          </cell>
          <cell r="G31">
            <v>5.0037842515533333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5.4079558753259836E-2</v>
          </cell>
          <cell r="E32">
            <v>0.6091925509147561</v>
          </cell>
          <cell r="F32">
            <v>1.1969037225828512</v>
          </cell>
          <cell r="G32">
            <v>5.0037842515533333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3.1706714954035597E-2</v>
          </cell>
          <cell r="F33">
            <v>4.3331659067877101E-2</v>
          </cell>
          <cell r="G33">
            <v>0.28988664841887402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4.0687086215013442E-3</v>
          </cell>
          <cell r="E34">
            <v>4.1887793320518001E-2</v>
          </cell>
          <cell r="F34">
            <v>8.2302744277871112E-2</v>
          </cell>
          <cell r="G34">
            <v>0.34404914975760853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1.2366645228201394E-5</v>
          </cell>
          <cell r="E35">
            <v>3.0377070242590219E-4</v>
          </cell>
          <cell r="F35">
            <v>3.5203786734509882E-4</v>
          </cell>
          <cell r="G35">
            <v>4.2698628437745834E-4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1.2366645228201394E-5</v>
          </cell>
          <cell r="E36">
            <v>3.0377070242590219E-4</v>
          </cell>
          <cell r="F36">
            <v>3.5203786734509882E-4</v>
          </cell>
          <cell r="G36">
            <v>4.2698628437745834E-4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3.1717633294114098E-5</v>
          </cell>
          <cell r="F37">
            <v>2.0980256415893502E-5</v>
          </cell>
          <cell r="G37">
            <v>2.11557939796258E-5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3.28153716553084E-5</v>
          </cell>
          <cell r="F38">
            <v>5.1725008912137796E-5</v>
          </cell>
          <cell r="G38">
            <v>6.3263174230261302E-5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9.0983202927062856E-2</v>
          </cell>
          <cell r="E39">
            <v>0.1589660167670956</v>
          </cell>
          <cell r="F39">
            <v>0.15301846855894702</v>
          </cell>
          <cell r="G39">
            <v>0.12310272724316282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9.0983202927062856E-2</v>
          </cell>
          <cell r="E40">
            <v>0.1589660167670956</v>
          </cell>
          <cell r="F40">
            <v>0.15301846855894702</v>
          </cell>
          <cell r="G40">
            <v>0.12310272724316282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6.1343690126034402E-5</v>
          </cell>
          <cell r="F41">
            <v>6.5527307843675096E-5</v>
          </cell>
          <cell r="G41">
            <v>6.4110519429088305E-5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7.26269943139435E-3</v>
          </cell>
          <cell r="E42">
            <v>1.251912557958712E-2</v>
          </cell>
          <cell r="F42">
            <v>1.2063952645319787E-2</v>
          </cell>
          <cell r="G42">
            <v>9.704145019800681E-3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2.6767192409034814E-6</v>
          </cell>
          <cell r="E43">
            <v>1.876730059248663E-4</v>
          </cell>
          <cell r="F43">
            <v>6.083543750898012E-4</v>
          </cell>
          <cell r="G43">
            <v>9.8174989821293076E-4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2.6767192409034814E-6</v>
          </cell>
          <cell r="E44">
            <v>1.876730059248663E-4</v>
          </cell>
          <cell r="F44">
            <v>6.083543750898012E-4</v>
          </cell>
          <cell r="G44">
            <v>9.8174989821293076E-4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1.4273073511832E-5</v>
          </cell>
          <cell r="F45">
            <v>3.5683927767659902E-5</v>
          </cell>
          <cell r="G45">
            <v>3.7144317870447597E-5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1.4333367511632664E-5</v>
          </cell>
          <cell r="F46">
            <v>4.8718740676216015E-5</v>
          </cell>
          <cell r="G46">
            <v>7.7010817143427057E-5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4.4019869747813002E-5</v>
          </cell>
          <cell r="E49">
            <v>5.4053696588695897E-5</v>
          </cell>
          <cell r="F49">
            <v>8.1077337717174494E-5</v>
          </cell>
          <cell r="G49">
            <v>1.3513114328070301E-4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2.093822367612993E-3</v>
          </cell>
          <cell r="E50">
            <v>2.1478760642016886E-3</v>
          </cell>
          <cell r="F50">
            <v>2.2289534019188629E-3</v>
          </cell>
          <cell r="G50">
            <v>2.3640845451995659E-3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5.2960831123743559E-5</v>
          </cell>
          <cell r="E51">
            <v>9.154686130311647E-2</v>
          </cell>
          <cell r="F51">
            <v>0.99802375199539128</v>
          </cell>
          <cell r="G51">
            <v>3.6227753032169114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5.2960831123743559E-5</v>
          </cell>
          <cell r="E52">
            <v>9.154686130311647E-2</v>
          </cell>
          <cell r="F52">
            <v>0.99802375199539128</v>
          </cell>
          <cell r="G52">
            <v>3.6227753032169114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6.3757420382205597E-3</v>
          </cell>
          <cell r="F53">
            <v>6.3534660744775998E-2</v>
          </cell>
          <cell r="G53">
            <v>0.19956563432108401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6.2948862172543061E-3</v>
          </cell>
          <cell r="F54">
            <v>6.8623515488501582E-2</v>
          </cell>
          <cell r="G54">
            <v>0.24909270776797818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3.1001483319038994E-3</v>
          </cell>
          <cell r="E55">
            <v>9.5289019014289204E-3</v>
          </cell>
          <cell r="F55">
            <v>9.9682694163733682E-3</v>
          </cell>
          <cell r="G55">
            <v>8.6941906572270151E-3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3.1001483319038994E-3</v>
          </cell>
          <cell r="E56">
            <v>9.5289019014289204E-3</v>
          </cell>
          <cell r="F56">
            <v>9.9682694163733682E-3</v>
          </cell>
          <cell r="G56">
            <v>8.6941906572270151E-3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7.2657349092792399E-5</v>
          </cell>
          <cell r="F57">
            <v>7.5299166933028393E-5</v>
          </cell>
          <cell r="G57">
            <v>7.2329527108636895E-5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2.5905494140503887E-4</v>
          </cell>
          <cell r="E58">
            <v>7.5175714847817272E-4</v>
          </cell>
          <cell r="F58">
            <v>7.9452578381574096E-4</v>
          </cell>
          <cell r="G58">
            <v>6.9215987736589491E-4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7.5822197632521908E-8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3.234711081872664E-7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1.08702788326137E-8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1.08702788326137E-8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2.1236090801657884E-4</v>
          </cell>
          <cell r="E63">
            <v>4.3631617512177387E-4</v>
          </cell>
          <cell r="F63">
            <v>4.2505722340010241E-4</v>
          </cell>
          <cell r="G63">
            <v>4.1241607411198118E-4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2.1959459903209501E-2</v>
          </cell>
          <cell r="E64">
            <v>4.5117849806708896E-2</v>
          </cell>
          <cell r="F64">
            <v>4.3953603047767201E-2</v>
          </cell>
          <cell r="G64">
            <v>4.2646428325660221E-2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2.975536572250612E-4</v>
          </cell>
          <cell r="E65">
            <v>6.1135297841069026E-4</v>
          </cell>
          <cell r="F65">
            <v>5.9557727707001691E-4</v>
          </cell>
          <cell r="G65">
            <v>5.7786488246151931E-4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5.5812966238292701</v>
          </cell>
          <cell r="E66">
            <v>10.909546758327501</v>
          </cell>
          <cell r="F66">
            <v>10.236726641542655</v>
          </cell>
          <cell r="G66">
            <v>7.5052581511581646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4.4318833326678998E-2</v>
          </cell>
          <cell r="E67">
            <v>8.6628326182779589E-2</v>
          </cell>
          <cell r="F67">
            <v>8.1285732046622219E-2</v>
          </cell>
          <cell r="G67">
            <v>5.9596238561258889E-2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7.5627325526141903E-2</v>
          </cell>
          <cell r="E68">
            <v>0.14782583683370604</v>
          </cell>
          <cell r="F68">
            <v>0.13870903308323393</v>
          </cell>
          <cell r="G68">
            <v>0.10169726492084229</v>
          </cell>
        </row>
        <row r="69">
          <cell r="A69" t="str">
            <v>T_B_u-FCLH2O-S3</v>
          </cell>
          <cell r="B69" t="str">
            <v>VAR_fout</v>
          </cell>
          <cell r="C69" t="str">
            <v>TPBSu</v>
          </cell>
          <cell r="G69">
            <v>7.5791175657496203E-8</v>
          </cell>
        </row>
        <row r="70">
          <cell r="A70" t="str">
            <v>T_B_u-FCLH2O-S3</v>
          </cell>
          <cell r="B70" t="str">
            <v>VAR_fin</v>
          </cell>
          <cell r="C70" t="str">
            <v>TH2O</v>
          </cell>
          <cell r="G70">
            <v>6.7007562159622218E-7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1.04212997327227E-8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1.04212997327227E-8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4.4147390587541723E-5</v>
          </cell>
          <cell r="F73">
            <v>5.7904498921505496E-5</v>
          </cell>
          <cell r="G73">
            <v>2.6873543916340896E-4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4.4147390587541717E-5</v>
          </cell>
          <cell r="F74">
            <v>5.7904498921505482E-5</v>
          </cell>
          <cell r="G74">
            <v>2.6873543916340891E-4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4.4904979063206466E-5</v>
          </cell>
          <cell r="F75">
            <v>5.9344624744403129E-5</v>
          </cell>
          <cell r="G75">
            <v>2.697429831071217E-4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4.4904979063206466E-5</v>
          </cell>
          <cell r="F76">
            <v>5.9344624744403129E-5</v>
          </cell>
          <cell r="G76">
            <v>2.697429831071217E-4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2.6712969549988002E-3</v>
          </cell>
          <cell r="F77">
            <v>1.6123129448284801E-3</v>
          </cell>
          <cell r="G77">
            <v>1.8800135779726099E-3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2.6712969549988002E-3</v>
          </cell>
          <cell r="F78">
            <v>4.2824425568659076E-3</v>
          </cell>
          <cell r="G78">
            <v>6.1601146064351143E-3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7.3158778479884603</v>
          </cell>
          <cell r="E79">
            <v>69.339713200270211</v>
          </cell>
          <cell r="F79">
            <v>130.85250553796772</v>
          </cell>
          <cell r="G79">
            <v>477.33982602168794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5.4079656848361891E-2</v>
          </cell>
          <cell r="E80">
            <v>0.51256567889053684</v>
          </cell>
          <cell r="F80">
            <v>0.96727402292362974</v>
          </cell>
          <cell r="G80">
            <v>3.5285408706499273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9.9131136151605112E-2</v>
          </cell>
          <cell r="E81">
            <v>0.9395625094887563</v>
          </cell>
          <cell r="F81">
            <v>1.773069180731268</v>
          </cell>
          <cell r="G81">
            <v>6.4680193227871108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2.682130978987448E-3</v>
          </cell>
          <cell r="E83">
            <v>7.9640917650124054E-3</v>
          </cell>
          <cell r="F83">
            <v>9.3328692131702494E-3</v>
          </cell>
          <cell r="G83">
            <v>1.2297743274613138E-2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2.6821309789874475E-3</v>
          </cell>
          <cell r="E84">
            <v>7.9640917650124037E-3</v>
          </cell>
          <cell r="F84">
            <v>9.3328692131702494E-3</v>
          </cell>
          <cell r="G84">
            <v>1.2297743274613134E-2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2.6826587457798724E-3</v>
          </cell>
          <cell r="E85">
            <v>7.9655360106687216E-3</v>
          </cell>
          <cell r="F85">
            <v>9.3354968259375826E-3</v>
          </cell>
          <cell r="G85">
            <v>1.2300031260777678E-2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2.6826587457798724E-3</v>
          </cell>
          <cell r="E86">
            <v>7.9655360106687216E-3</v>
          </cell>
          <cell r="F86">
            <v>9.3354968259375826E-3</v>
          </cell>
          <cell r="G86">
            <v>1.2300031260777678E-2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8.7703735515212104E-3</v>
          </cell>
          <cell r="E87">
            <v>8.7409434485795599E-3</v>
          </cell>
          <cell r="F87">
            <v>1.03468331493883E-2</v>
          </cell>
          <cell r="G87">
            <v>9.2035891744824301E-3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8.7703735515212104E-3</v>
          </cell>
          <cell r="E88">
            <v>1.7509909086401144E-2</v>
          </cell>
          <cell r="F88">
            <v>2.7852522403289375E-2</v>
          </cell>
          <cell r="G88">
            <v>3.7048803253424495E-2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12.9186857848784</v>
          </cell>
          <cell r="E89">
            <v>19.233249375029672</v>
          </cell>
          <cell r="F89">
            <v>17.838002447191251</v>
          </cell>
          <cell r="G89">
            <v>12.65683225483393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9.0983202927062828E-2</v>
          </cell>
          <cell r="E90">
            <v>0.13545515851801443</v>
          </cell>
          <cell r="F90">
            <v>0.12562876932620723</v>
          </cell>
          <cell r="G90">
            <v>8.9139031371385416E-2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0.17504994288453174</v>
          </cell>
          <cell r="E91">
            <v>0.26061313516300372</v>
          </cell>
          <cell r="F91">
            <v>0.24170735023294365</v>
          </cell>
          <cell r="G91">
            <v>0.1715017920709207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7.9324557139038798E-2</v>
          </cell>
          <cell r="F92">
            <v>0.30053728129713331</v>
          </cell>
          <cell r="G92">
            <v>1.8152960897022496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7.9324557139038798E-2</v>
          </cell>
          <cell r="F93">
            <v>0.30053728129713331</v>
          </cell>
          <cell r="G93">
            <v>1.8152960897022496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7.9332952894500416E-2</v>
          </cell>
          <cell r="F94">
            <v>0.3005683180534367</v>
          </cell>
          <cell r="G94">
            <v>1.8154787239426173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7.9332952894500416E-2</v>
          </cell>
          <cell r="F95">
            <v>0.3005683180534367</v>
          </cell>
          <cell r="G95">
            <v>1.8154787239426173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3.3831253499315999</v>
          </cell>
          <cell r="F96">
            <v>9.3672452767466599</v>
          </cell>
          <cell r="G96">
            <v>41.932188395323301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3.3831253499315999</v>
          </cell>
          <cell r="F97">
            <v>12.747235368089118</v>
          </cell>
          <cell r="G97">
            <v>54.661120739693672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31.589846597102099</v>
          </cell>
          <cell r="F98">
            <v>104.92024431584279</v>
          </cell>
          <cell r="G98">
            <v>277.67315265799527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0.1985754102130862</v>
          </cell>
          <cell r="F99">
            <v>0.65953408449242001</v>
          </cell>
          <cell r="G99">
            <v>1.7454678048129719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0.43096652929197987</v>
          </cell>
          <cell r="F100">
            <v>1.4313812321397388</v>
          </cell>
          <cell r="G100">
            <v>3.7881739789630986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1.3841464824426599E-2</v>
          </cell>
          <cell r="F101">
            <v>3.9611886500138901E-2</v>
          </cell>
          <cell r="G101">
            <v>9.6406261831947004E-2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1.3841464824426599E-2</v>
          </cell>
          <cell r="F102">
            <v>5.3453351324565503E-2</v>
          </cell>
          <cell r="G102">
            <v>0.14802568234340899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3.748609408869645E-4</v>
          </cell>
          <cell r="E103">
            <v>3.2232611772582516E-5</v>
          </cell>
          <cell r="F103">
            <v>3.4946160017248713E-5</v>
          </cell>
          <cell r="G103">
            <v>1.9762372462176124E-5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2.1487083976774761E-3</v>
          </cell>
          <cell r="E104">
            <v>1.8393459991732693E-4</v>
          </cell>
          <cell r="F104">
            <v>1.9892138861269637E-4</v>
          </cell>
          <cell r="G104">
            <v>1.0913497622864325E-4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5.2861649910015E-8</v>
          </cell>
          <cell r="F105">
            <v>7.6946574749555599E-8</v>
          </cell>
          <cell r="G105">
            <v>1.7858519884530901E-7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1.0029667552528959E-5</v>
          </cell>
          <cell r="E106">
            <v>6.5080999701431521E-7</v>
          </cell>
          <cell r="F106">
            <v>7.3369592609526929E-7</v>
          </cell>
          <cell r="G106">
            <v>3.8822324458933247E-7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1.8605333970530137E-2</v>
          </cell>
          <cell r="F107">
            <v>2.1166152269184429E-2</v>
          </cell>
          <cell r="G107">
            <v>2.7179917584823098E-2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1.8605333970530137E-2</v>
          </cell>
          <cell r="F108">
            <v>2.1166152269184429E-2</v>
          </cell>
          <cell r="G108">
            <v>2.7179917584823091E-2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1.8607906891511813E-2</v>
          </cell>
          <cell r="F109">
            <v>2.1169249118630058E-2</v>
          </cell>
          <cell r="G109">
            <v>2.7183722325004839E-2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1.8607906891511813E-2</v>
          </cell>
          <cell r="F110">
            <v>2.1169249118630058E-2</v>
          </cell>
          <cell r="G110">
            <v>2.7183722325004839E-2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1.21164497749702E-2</v>
          </cell>
          <cell r="F111">
            <v>1.2803996122573999E-2</v>
          </cell>
          <cell r="G111">
            <v>1.2262701607896101E-2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1.21164497749702E-2</v>
          </cell>
          <cell r="F112">
            <v>2.4918916860213997E-2</v>
          </cell>
          <cell r="G112">
            <v>3.7176798948286779E-2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61.391431278586502</v>
          </cell>
          <cell r="E113">
            <v>130.27542744483</v>
          </cell>
          <cell r="F113">
            <v>39.987017062244497</v>
          </cell>
          <cell r="G113">
            <v>19.989402097319498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0.23091102158820134</v>
          </cell>
          <cell r="E114">
            <v>0.49457060796828495</v>
          </cell>
          <cell r="F114">
            <v>0.15390719332447755</v>
          </cell>
          <cell r="G114">
            <v>7.6937791289705681E-2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0.83186221244697156</v>
          </cell>
          <cell r="E115">
            <v>1.7652496943743856</v>
          </cell>
          <cell r="F115">
            <v>0.54182949948840853</v>
          </cell>
          <cell r="G115">
            <v>0.27085910700974941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4.5952E-2</v>
          </cell>
          <cell r="E116">
            <v>3.98250666666667E-2</v>
          </cell>
          <cell r="F116">
            <v>3.0634666666666699E-2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2.5094614594832879E-2</v>
          </cell>
          <cell r="E117">
            <v>2.6565219225528479E-2</v>
          </cell>
          <cell r="F117">
            <v>2.9171919239914641E-2</v>
          </cell>
          <cell r="G117">
            <v>3.1644726245877636E-2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1.5023087997690843</v>
          </cell>
          <cell r="E118">
            <v>1.5903477002800355</v>
          </cell>
          <cell r="F118">
            <v>1.7463998426698581</v>
          </cell>
          <cell r="G118">
            <v>1.8944363750162725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4.3430039000169898E-8</v>
          </cell>
          <cell r="E119">
            <v>1.3573189124764401E-4</v>
          </cell>
          <cell r="F119">
            <v>2.4064414450934799E-4</v>
          </cell>
          <cell r="G119">
            <v>2.28274980856496E-4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2.3167079177221798E-3</v>
          </cell>
          <cell r="E120">
            <v>2.452439808969825E-3</v>
          </cell>
          <cell r="F120">
            <v>2.693083953479173E-3</v>
          </cell>
          <cell r="G120">
            <v>2.9213589343356689E-3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788.81846734554995</v>
          </cell>
          <cell r="E121">
            <v>545.26461919408302</v>
          </cell>
          <cell r="F121">
            <v>399.54509585274798</v>
          </cell>
          <cell r="G121">
            <v>199.765850709153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2.7876245893642211</v>
          </cell>
          <cell r="E122">
            <v>1.9931353152584688</v>
          </cell>
          <cell r="F122">
            <v>1.5332540467008777</v>
          </cell>
          <cell r="G122">
            <v>0.76660132278368742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10.761507057920186</v>
          </cell>
          <cell r="E123">
            <v>7.4388079016928179</v>
          </cell>
          <cell r="F123">
            <v>5.4508198615654564</v>
          </cell>
          <cell r="G123">
            <v>2.725318563562793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0.228993</v>
          </cell>
          <cell r="E124">
            <v>0.19846059999999999</v>
          </cell>
          <cell r="F124">
            <v>0.15266199999999999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0.21077709932614919</v>
          </cell>
          <cell r="E125">
            <v>0.11869725125449089</v>
          </cell>
          <cell r="F125">
            <v>9.0543257257389154E-2</v>
          </cell>
          <cell r="G125">
            <v>7.6451807012294535E-3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2.3003178964511335E-3</v>
          </cell>
          <cell r="E126">
            <v>1.3814110682056518E-3</v>
          </cell>
          <cell r="F126">
            <v>1.0480427295447266E-3</v>
          </cell>
          <cell r="G126">
            <v>8.4836095002098621E-5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3.7371826121657707E-3</v>
          </cell>
          <cell r="E127">
            <v>2.1045611924555181E-3</v>
          </cell>
          <cell r="F127">
            <v>1.605376901726759E-3</v>
          </cell>
          <cell r="G127">
            <v>1.3555284931257916E-4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1.2734560283740901E-6</v>
          </cell>
          <cell r="F128">
            <v>1.18934032675005E-6</v>
          </cell>
          <cell r="G128">
            <v>6.5855506632013302E-7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2.5600090772638596E-4</v>
          </cell>
          <cell r="E129">
            <v>1.5551100563001793E-4</v>
          </cell>
          <cell r="F129">
            <v>1.5568106968583871E-4</v>
          </cell>
          <cell r="G129">
            <v>1.2790862718035483E-5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0.74115798142830658</v>
          </cell>
          <cell r="E130">
            <v>1.7852175572854632</v>
          </cell>
          <cell r="F130">
            <v>4.4348780677318844</v>
          </cell>
          <cell r="G130">
            <v>18.149762236315116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0.74115798142830658</v>
          </cell>
          <cell r="E131">
            <v>1.7852175572854632</v>
          </cell>
          <cell r="F131">
            <v>4.4348780677318844</v>
          </cell>
          <cell r="G131">
            <v>18.149762236315116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8.4887634411301102E-8</v>
          </cell>
          <cell r="E132">
            <v>8.1625187841096406E-8</v>
          </cell>
          <cell r="F132">
            <v>0.98476609751740096</v>
          </cell>
          <cell r="G132">
            <v>8.8333296760940598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1.2762580419456844</v>
          </cell>
          <cell r="E133">
            <v>1.2762581235708721</v>
          </cell>
          <cell r="F133">
            <v>2.2610242210882729</v>
          </cell>
          <cell r="G133">
            <v>11.09435389718233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3.1620059822824338</v>
          </cell>
          <cell r="E134">
            <v>2.4865738065922454</v>
          </cell>
          <cell r="F134">
            <v>2.4697669312490551</v>
          </cell>
          <cell r="G134">
            <v>1.2467241461788842E-2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3.5405993251178311E-2</v>
          </cell>
          <cell r="E135">
            <v>2.9829528619093496E-2</v>
          </cell>
          <cell r="F135">
            <v>2.9578418215587193E-2</v>
          </cell>
          <cell r="G135">
            <v>1.2286456208856046E-4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5.6063935856071515E-2</v>
          </cell>
          <cell r="E136">
            <v>4.4088188060146236E-2</v>
          </cell>
          <cell r="F136">
            <v>4.3790193816472624E-2</v>
          </cell>
          <cell r="G136">
            <v>2.2105038052817118E-4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6.9118365631963196E-7</v>
          </cell>
          <cell r="F137">
            <v>9.3924781441483095E-7</v>
          </cell>
          <cell r="G137">
            <v>7.61107017002117E-7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2.688362739561594E-3</v>
          </cell>
          <cell r="E138">
            <v>2.2743888788403087E-3</v>
          </cell>
          <cell r="F138">
            <v>2.2454748078382736E-3</v>
          </cell>
          <cell r="G138">
            <v>9.605012979854808E-6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326.24076767386612</v>
          </cell>
          <cell r="E139">
            <v>384.72035758243425</v>
          </cell>
          <cell r="F139">
            <v>384.58745768627944</v>
          </cell>
          <cell r="G139">
            <v>152.76136501295721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1.522669870317519</v>
          </cell>
          <cell r="E140">
            <v>1.7956127959279604</v>
          </cell>
          <cell r="F140">
            <v>1.794992509661822</v>
          </cell>
          <cell r="G140">
            <v>0.71298608543716868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4.4507608141045854</v>
          </cell>
          <cell r="E141">
            <v>5.2485724090373047</v>
          </cell>
          <cell r="F141">
            <v>5.2467593135918076</v>
          </cell>
          <cell r="G141">
            <v>2.0840568214591713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6.4801825791146296E-6</v>
          </cell>
          <cell r="F142">
            <v>1.7620567205521999E-5</v>
          </cell>
          <cell r="G142">
            <v>2.10029696883095E-5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0.10616892279361514</v>
          </cell>
          <cell r="E143">
            <v>0.12516243932127186</v>
          </cell>
          <cell r="F143">
            <v>0.12518010074978464</v>
          </cell>
          <cell r="G143">
            <v>7.0887151187715908E-2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0.25350245335459631</v>
          </cell>
          <cell r="E144">
            <v>0.21052584373364303</v>
          </cell>
          <cell r="F144">
            <v>0.27286635541045129</v>
          </cell>
          <cell r="G144">
            <v>3.1049018110851118E-2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2.1030017083714255E-3</v>
          </cell>
          <cell r="E145">
            <v>1.7745717546446367E-3</v>
          </cell>
          <cell r="F145">
            <v>2.2824816975855725E-3</v>
          </cell>
          <cell r="G145">
            <v>2.6620743360642179E-4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4.4947243502587962E-3</v>
          </cell>
          <cell r="E146">
            <v>3.7327277257738151E-3</v>
          </cell>
          <cell r="F146">
            <v>4.8380559469938357E-3</v>
          </cell>
          <cell r="G146">
            <v>5.5051450551154516E-4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8.9012523373042595E-7</v>
          </cell>
          <cell r="F147">
            <v>1.1056950000342101E-6</v>
          </cell>
          <cell r="G147">
            <v>1.27200773017632E-6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1.5099906590571878E-4</v>
          </cell>
          <cell r="E148">
            <v>1.5913757281716092E-4</v>
          </cell>
          <cell r="F148">
            <v>1.5876622821205604E-4</v>
          </cell>
          <cell r="G148">
            <v>1.8368011488094151E-5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2.7314255823406008</v>
          </cell>
          <cell r="E149">
            <v>2.6591169681759688</v>
          </cell>
          <cell r="F149">
            <v>2.4759398299072801</v>
          </cell>
          <cell r="G149">
            <v>8.2584061075094174E-3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3.3062227959286178E-2</v>
          </cell>
          <cell r="E150">
            <v>3.2175499081058843E-2</v>
          </cell>
          <cell r="F150">
            <v>2.9950386268928517E-2</v>
          </cell>
          <cell r="G150">
            <v>8.477973452923676E-5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4.8429531601783815E-2</v>
          </cell>
          <cell r="E151">
            <v>4.7147463974751246E-2</v>
          </cell>
          <cell r="F151">
            <v>4.3899642374242549E-2</v>
          </cell>
          <cell r="G151">
            <v>1.4642564020406768E-4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9.1007410014857905E-7</v>
          </cell>
          <cell r="F152">
            <v>1.2137422835616399E-6</v>
          </cell>
          <cell r="G152">
            <v>1.46314529065648E-6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2.5344813555673996E-3</v>
          </cell>
          <cell r="F153">
            <v>2.35973853981898E-3</v>
          </cell>
          <cell r="G153">
            <v>7.0232111551468517E-6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9.8783768634154601E-3</v>
          </cell>
          <cell r="F154">
            <v>3.4925860096767361E-2</v>
          </cell>
          <cell r="G154">
            <v>22.279648850688066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6.9386398562389285E-5</v>
          </cell>
          <cell r="F155">
            <v>2.5809482059912484E-4</v>
          </cell>
          <cell r="G155">
            <v>0.1839735384281809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1.3385334503272992E-4</v>
          </cell>
          <cell r="F156">
            <v>4.7325013681256625E-4</v>
          </cell>
          <cell r="G156">
            <v>0.30189226084943216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7.9104975508802304E-6</v>
          </cell>
          <cell r="F157">
            <v>3.1148389454268497E-5</v>
          </cell>
          <cell r="G157">
            <v>2.94527468133522E-2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7.8051839031490608E-6</v>
          </cell>
          <cell r="F158">
            <v>3.8092131705171902E-5</v>
          </cell>
          <cell r="G158">
            <v>2.7958191632530199E-2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2.8832315767707572E-2</v>
          </cell>
          <cell r="G159">
            <v>3.0543631535415186E-2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0.35149986092475399</v>
          </cell>
          <cell r="G160">
            <v>0.45078090930791764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6.9557279646037902E-3</v>
          </cell>
          <cell r="F161">
            <v>3.084814275057296E-2</v>
          </cell>
          <cell r="G161">
            <v>5.1207420230650939E-2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3.9334463716021907E-5</v>
          </cell>
          <cell r="F162">
            <v>1.8411618099195291E-4</v>
          </cell>
          <cell r="G162">
            <v>3.2423560045197251E-4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9.4251056430945545E-5</v>
          </cell>
          <cell r="F163">
            <v>4.1799651423540547E-4</v>
          </cell>
          <cell r="G163">
            <v>6.93867482800147E-4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3.240228883073E-6</v>
          </cell>
          <cell r="F164">
            <v>1.32896454627796E-5</v>
          </cell>
          <cell r="G164">
            <v>1.5735045806076401E-5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3.1970912269438501E-6</v>
          </cell>
          <cell r="F165">
            <v>1.61268123446541E-5</v>
          </cell>
          <cell r="G165">
            <v>2.8866825601551999E-5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8.5735003962702297E-3</v>
          </cell>
          <cell r="F166">
            <v>2.7241159821653059E-2</v>
          </cell>
          <cell r="G166">
            <v>14.642209827298984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6.5738214621217567E-5</v>
          </cell>
          <cell r="F167">
            <v>2.1752879773949632E-4</v>
          </cell>
          <cell r="G167">
            <v>0.12845484871755014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1.1696453473765657E-4</v>
          </cell>
          <cell r="F168">
            <v>3.7163928815352019E-4</v>
          </cell>
          <cell r="G168">
            <v>0.19975729641608381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7.48044185781629E-6</v>
          </cell>
          <cell r="F169">
            <v>2.5291812933474899E-5</v>
          </cell>
          <cell r="G169">
            <v>2.0559301185689601E-2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7.3808536064300204E-6</v>
          </cell>
          <cell r="F170">
            <v>3.1913482481834397E-5</v>
          </cell>
          <cell r="G170">
            <v>1.9520577635087698E-2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8.8856414590983996E-3</v>
          </cell>
          <cell r="F171">
            <v>3.4054425643575706E-2</v>
          </cell>
          <cell r="G171">
            <v>5.2857087308025172E-2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4.6712215674556389E-5</v>
          </cell>
          <cell r="F172">
            <v>1.8857896224862866E-4</v>
          </cell>
          <cell r="G172">
            <v>3.0914162914918352E-4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1.2040164578724127E-4</v>
          </cell>
          <cell r="F173">
            <v>4.6144208189127014E-4</v>
          </cell>
          <cell r="G173">
            <v>7.1622069523069349E-4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3.4577514256701899E-6</v>
          </cell>
          <cell r="F174">
            <v>1.08445356599494E-5</v>
          </cell>
          <cell r="G174">
            <v>1.09711399476927E-5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3.4117178591033901E-6</v>
          </cell>
          <cell r="F175">
            <v>1.39165963441645E-5</v>
          </cell>
          <cell r="G175">
            <v>2.2391435487721699E-5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6.1046737860193699E-3</v>
          </cell>
          <cell r="F176">
            <v>2.5309021966926231E-2</v>
          </cell>
          <cell r="G176">
            <v>4.6436619124181192E-2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3.7652550030222836E-5</v>
          </cell>
          <cell r="F177">
            <v>1.6314989390445774E-4</v>
          </cell>
          <cell r="G177">
            <v>3.1557388064706177E-4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8.3283407721956019E-5</v>
          </cell>
          <cell r="F178">
            <v>3.4527997226365932E-4</v>
          </cell>
          <cell r="G178">
            <v>6.3351458559592327E-4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3.07229814725381E-6</v>
          </cell>
          <cell r="F179">
            <v>1.11372402070986E-5</v>
          </cell>
          <cell r="G179">
            <v>1.4545655841561999E-5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3.0313961783543899E-6</v>
          </cell>
          <cell r="F180">
            <v>1.3846851502652399E-5</v>
          </cell>
          <cell r="G180">
            <v>2.5746617443455299E-5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1.0778632376600599E-2</v>
          </cell>
          <cell r="F181">
            <v>4.8146169941521509E-2</v>
          </cell>
          <cell r="G181">
            <v>8.1364311453576116E-2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5.7445814811570642E-5</v>
          </cell>
          <cell r="F182">
            <v>2.7055228432098388E-4</v>
          </cell>
          <cell r="G182">
            <v>4.8439781585755357E-4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1.4605192922223105E-4</v>
          </cell>
          <cell r="F183">
            <v>6.5238712657888175E-4</v>
          </cell>
          <cell r="G183">
            <v>1.102497445170409E-3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4.8211237680270103E-6</v>
          </cell>
          <cell r="F184">
            <v>1.89419856174639E-5</v>
          </cell>
          <cell r="G184">
            <v>2.2274546189706799E-5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4.7569394197090099E-6</v>
          </cell>
          <cell r="F185">
            <v>2.317446657927E-5</v>
          </cell>
          <cell r="G185">
            <v>4.1150877404970297E-5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7.5241275757964004E-3</v>
          </cell>
          <cell r="F186">
            <v>2.6688962546410878E-2</v>
          </cell>
          <cell r="G186">
            <v>4.3476321753419547E-2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4.3141222320931317E-5</v>
          </cell>
          <cell r="F187">
            <v>1.5963981075976948E-4</v>
          </cell>
          <cell r="G187">
            <v>2.7310017349318577E-4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1.0264839803269312E-4</v>
          </cell>
          <cell r="F188">
            <v>3.6410590104244084E-4</v>
          </cell>
          <cell r="G188">
            <v>5.9312853688157539E-4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3.17716844654523E-6</v>
          </cell>
          <cell r="F189">
            <v>8.9108605288782703E-6</v>
          </cell>
          <cell r="G189">
            <v>1.00249045469458E-5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3.1348703235245301E-6</v>
          </cell>
          <cell r="F190">
            <v>1.1747663374526E-5</v>
          </cell>
          <cell r="G190">
            <v>1.9607378795321699E-5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0.194879529895539</v>
          </cell>
          <cell r="F191">
            <v>0.21039043651251529</v>
          </cell>
          <cell r="G191">
            <v>3.5601160748602249E-2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4.3206812274141401E-4</v>
          </cell>
          <cell r="F192">
            <v>4.6828512352783058E-4</v>
          </cell>
          <cell r="G192">
            <v>8.4979556160951915E-5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2.6586566152188118E-3</v>
          </cell>
          <cell r="F193">
            <v>2.8702651638815154E-3</v>
          </cell>
          <cell r="G193">
            <v>4.8569114254573364E-4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9.4405299070587602E-6</v>
          </cell>
          <cell r="F194">
            <v>8.8222973566000603E-7</v>
          </cell>
          <cell r="G194">
            <v>9.66855485521659E-7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9.4405299070587602E-6</v>
          </cell>
          <cell r="F195">
            <v>1.03227596427188E-5</v>
          </cell>
          <cell r="G195">
            <v>2.1931152347667607E-6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5.6491801914794904E-3</v>
          </cell>
          <cell r="F196">
            <v>1.5810774148893321E-2</v>
          </cell>
          <cell r="G196">
            <v>2.330115234074424E-2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3.0784104534265903E-5</v>
          </cell>
          <cell r="F197">
            <v>8.9496688343851792E-5</v>
          </cell>
          <cell r="G197">
            <v>1.3793986259395884E-4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7.7069306841466383E-5</v>
          </cell>
          <cell r="F198">
            <v>2.1569951089895367E-4</v>
          </cell>
          <cell r="G198">
            <v>3.1788748077413729E-4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2.62291176845113E-6</v>
          </cell>
          <cell r="F199">
            <v>5.4809962607052499E-6</v>
          </cell>
          <cell r="G199">
            <v>5.4931174677708998E-6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2.58799254823319E-6</v>
          </cell>
          <cell r="F200">
            <v>7.8478861949893594E-6</v>
          </cell>
          <cell r="G200">
            <v>1.19214842924732E-5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1.18642102182317E-2</v>
          </cell>
          <cell r="F201">
            <v>4.6138164950285097</v>
          </cell>
          <cell r="G201">
            <v>19.725068637634791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1.8855505134591617E-5</v>
          </cell>
          <cell r="F202">
            <v>7.7006323566029076E-3</v>
          </cell>
          <cell r="G202">
            <v>3.4939403983486189E-2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1.6185825672894509E-4</v>
          </cell>
          <cell r="F203">
            <v>6.2944290518806442E-2</v>
          </cell>
          <cell r="G203">
            <v>0.26910052711643589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4.33594402836966E-7</v>
          </cell>
          <cell r="F204">
            <v>1.6694073289890199E-4</v>
          </cell>
          <cell r="G204">
            <v>5.9195694348348202E-4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4.33594402836966E-7</v>
          </cell>
          <cell r="F205">
            <v>1.6737432730173899E-4</v>
          </cell>
          <cell r="G205">
            <v>7.5927382150901802E-4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0.41619601007826573</v>
          </cell>
          <cell r="E206">
            <v>0.36070359628695886</v>
          </cell>
          <cell r="F206">
            <v>0.27746404943121999</v>
          </cell>
          <cell r="G206">
            <v>0.13873206255434314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0.46789252167355011</v>
          </cell>
          <cell r="E207">
            <v>0.37693227610266727</v>
          </cell>
          <cell r="F207">
            <v>0.2622297014713173</v>
          </cell>
          <cell r="G207">
            <v>0.11309566491793999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4.2040000000000001E-2</v>
          </cell>
          <cell r="E208">
            <v>3.6434666666666699E-2</v>
          </cell>
          <cell r="F208">
            <v>2.80266666666667E-2</v>
          </cell>
          <cell r="G208">
            <v>1.40133333333333E-2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8614.5742437584595</v>
          </cell>
          <cell r="E209">
            <v>8259.8717085397693</v>
          </cell>
          <cell r="F209">
            <v>7018.3610713492799</v>
          </cell>
          <cell r="G209">
            <v>5067.6735777121503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115.79772931063417</v>
          </cell>
          <cell r="E210">
            <v>111.02979220813491</v>
          </cell>
          <cell r="F210">
            <v>94.341316534967731</v>
          </cell>
          <cell r="G210">
            <v>68.120034325751902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117.52488736368969</v>
          </cell>
          <cell r="E211">
            <v>112.68583504147009</v>
          </cell>
          <cell r="F211">
            <v>95.748445720999754</v>
          </cell>
          <cell r="G211">
            <v>69.136065180247627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7.4099658706380401E-3</v>
          </cell>
          <cell r="F212">
            <v>0.27836426195156477</v>
          </cell>
          <cell r="G212">
            <v>10.054001058794768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7.9089333773619669E-6</v>
          </cell>
          <cell r="F213">
            <v>3.117606585582765E-4</v>
          </cell>
          <cell r="G213">
            <v>1.2156915264577173E-2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1.0109093957214246E-4</v>
          </cell>
          <cell r="F214">
            <v>3.7976024822860104E-3</v>
          </cell>
          <cell r="G214">
            <v>0.13716236096582204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1.9041017514171401E-7</v>
          </cell>
          <cell r="F215">
            <v>6.6116883014377301E-6</v>
          </cell>
          <cell r="G215">
            <v>2.5747360000547698E-4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1.9041017514171401E-7</v>
          </cell>
          <cell r="F216">
            <v>6.8020984765794396E-6</v>
          </cell>
          <cell r="G216">
            <v>2.6419810514466603E-4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7.7186403026883541E-3</v>
          </cell>
          <cell r="E217">
            <v>1.2333895063985127E-2</v>
          </cell>
          <cell r="F217">
            <v>8.8101982997009897E-3</v>
          </cell>
          <cell r="G217">
            <v>8.4481628210100919E-3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7.7186403026883541E-3</v>
          </cell>
          <cell r="E218">
            <v>1.2333895063985125E-2</v>
          </cell>
          <cell r="F218">
            <v>8.810198299700988E-3</v>
          </cell>
          <cell r="G218">
            <v>8.4481628210100902E-3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7.7199794374869304E-3</v>
          </cell>
          <cell r="E219">
            <v>1.2337731217336752E-2</v>
          </cell>
          <cell r="F219">
            <v>8.819950272756916E-3</v>
          </cell>
          <cell r="G219">
            <v>8.455831104495418E-3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7.7199794374869304E-3</v>
          </cell>
          <cell r="E220">
            <v>1.2337731217336752E-2</v>
          </cell>
          <cell r="F220">
            <v>8.819950272756916E-3</v>
          </cell>
          <cell r="G220">
            <v>8.455831104495418E-3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2.7569210577157699E-3</v>
          </cell>
          <cell r="E221">
            <v>1.7183331964257802E-2</v>
          </cell>
          <cell r="F221">
            <v>8.9816396009964692E-3</v>
          </cell>
          <cell r="G221">
            <v>1.8722075591048298E-2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2.7569210577157699E-3</v>
          </cell>
          <cell r="E222">
            <v>1.9631376920006403E-2</v>
          </cell>
          <cell r="F222">
            <v>2.7332637520679381E-2</v>
          </cell>
          <cell r="G222">
            <v>4.0275286124834928E-2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1.2068244798359301E-4</v>
          </cell>
          <cell r="F223">
            <v>3.0668688149930901E-4</v>
          </cell>
          <cell r="G223">
            <v>5.0291365389962797E-5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8.6850926240159712E-8</v>
          </cell>
          <cell r="F224">
            <v>2.2487043427675249E-7</v>
          </cell>
          <cell r="G224">
            <v>4.1110019897530304E-8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1.6464181171022282E-6</v>
          </cell>
          <cell r="F225">
            <v>4.1839956548336759E-6</v>
          </cell>
          <cell r="G225">
            <v>6.8610321132282097E-7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1.5637310109677399E-8</v>
          </cell>
          <cell r="F226">
            <v>1.3787385633631099E-8</v>
          </cell>
          <cell r="G226">
            <v>1.3735526272153E-8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1.5637310109677399E-8</v>
          </cell>
          <cell r="F227">
            <v>2.9424695743308501E-8</v>
          </cell>
          <cell r="G227">
            <v>2.85705812161393E-8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1410.2252884373099</v>
          </cell>
          <cell r="E228">
            <v>1140.47440992826</v>
          </cell>
          <cell r="F228">
            <v>841.07101272489297</v>
          </cell>
          <cell r="G228">
            <v>362.73137200137899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1.5767138670050349</v>
          </cell>
          <cell r="E229">
            <v>1.3068967085689625</v>
          </cell>
          <cell r="F229">
            <v>0.99895867310421316</v>
          </cell>
          <cell r="G229">
            <v>0.4308240857021321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19.239089883182917</v>
          </cell>
          <cell r="E230">
            <v>15.558996042677476</v>
          </cell>
          <cell r="F230">
            <v>11.474365794336871</v>
          </cell>
          <cell r="G230">
            <v>4.9485862483134904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2.9662000000000001E-2</v>
          </cell>
          <cell r="E231">
            <v>2.5707066666666702E-2</v>
          </cell>
          <cell r="F231">
            <v>1.9774666666666701E-2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0.63228305194382195</v>
          </cell>
          <cell r="F232">
            <v>2.1998995098707101E-5</v>
          </cell>
          <cell r="G232">
            <v>2.09287075676519E-5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51.480425438451803</v>
          </cell>
          <cell r="F233">
            <v>1.79115607071575E-3</v>
          </cell>
          <cell r="G233">
            <v>1.7040133626029801E-3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0.69756674035842603</v>
          </cell>
          <cell r="F234">
            <v>2.4270407462273076E-5</v>
          </cell>
          <cell r="G234">
            <v>2.3089611959390059E-5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2.4488975965942001E-7</v>
          </cell>
          <cell r="E235">
            <v>5.7096002526133704E-7</v>
          </cell>
          <cell r="F235">
            <v>9.4906550821461197E-7</v>
          </cell>
          <cell r="G235">
            <v>1.3794094646612499E-6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1.5951115931069495</v>
          </cell>
          <cell r="E236">
            <v>1.5951121640669748</v>
          </cell>
          <cell r="F236">
            <v>2.3844470083078662E-5</v>
          </cell>
          <cell r="G236">
            <v>1.9675033417820842E-5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6.6203071035991601E-2</v>
          </cell>
          <cell r="E237">
            <v>0.10244500078446803</v>
          </cell>
          <cell r="F237">
            <v>0.12739678481118535</v>
          </cell>
          <cell r="G237">
            <v>5.2109457850085779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6.6203071035991601E-2</v>
          </cell>
          <cell r="E238">
            <v>0.102445000784468</v>
          </cell>
          <cell r="F238">
            <v>0.1273967848111853</v>
          </cell>
          <cell r="G238">
            <v>5.2109457850085779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6.6210445758649372E-2</v>
          </cell>
          <cell r="E239">
            <v>0.10245658311403225</v>
          </cell>
          <cell r="F239">
            <v>0.12741523170142338</v>
          </cell>
          <cell r="G239">
            <v>5.2114713498659384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6.6210445758649372E-2</v>
          </cell>
          <cell r="E240">
            <v>0.10245658311403225</v>
          </cell>
          <cell r="F240">
            <v>0.12741523170142338</v>
          </cell>
          <cell r="G240">
            <v>5.2114713498659384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9.6374489254804907E-3</v>
          </cell>
          <cell r="E241">
            <v>1.7288619941638099E-2</v>
          </cell>
          <cell r="F241">
            <v>0.45582202780596298</v>
          </cell>
          <cell r="G241">
            <v>81.306571636894503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9.6374489254804907E-3</v>
          </cell>
          <cell r="E242">
            <v>2.6417841966983314E-2</v>
          </cell>
          <cell r="F242">
            <v>0.47453883398504337</v>
          </cell>
          <cell r="G242">
            <v>77.504708658833721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3.2714761771960106</v>
          </cell>
          <cell r="E243">
            <v>12.912199993720849</v>
          </cell>
          <cell r="F243">
            <v>25.596091903785918</v>
          </cell>
          <cell r="G243">
            <v>45.097026644196973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8.4574469587622603E-2</v>
          </cell>
          <cell r="E244">
            <v>0.33609024734103143</v>
          </cell>
          <cell r="F244">
            <v>0.67167740368130724</v>
          </cell>
          <cell r="G244">
            <v>1.2052754479701371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4.4328945490460819E-2</v>
          </cell>
          <cell r="E245">
            <v>0.17496205953551291</v>
          </cell>
          <cell r="F245">
            <v>0.34683051360143541</v>
          </cell>
          <cell r="G245">
            <v>0.61107082173708649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8.2705729293676394E-2</v>
          </cell>
          <cell r="F246">
            <v>0.115510841765372</v>
          </cell>
          <cell r="G246">
            <v>0.23319905685217199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2.9121848343363572E-2</v>
          </cell>
          <cell r="E247">
            <v>0.11567843655307154</v>
          </cell>
          <cell r="F247">
            <v>0.23118926263511691</v>
          </cell>
          <cell r="G247">
            <v>0.43830578539113629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17.1765237530674</v>
          </cell>
          <cell r="F248">
            <v>16.935473484820601</v>
          </cell>
          <cell r="G248">
            <v>16.062102798508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1273.98329523661</v>
          </cell>
          <cell r="F249">
            <v>1256.10458942433</v>
          </cell>
          <cell r="G249">
            <v>1191.32665874944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17.380399662163832</v>
          </cell>
          <cell r="F250">
            <v>17.136488259540648</v>
          </cell>
          <cell r="G250">
            <v>16.252751142557276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4.0039237283598502E-7</v>
          </cell>
          <cell r="E251">
            <v>1.7338518218204E-6</v>
          </cell>
          <cell r="F251">
            <v>9.3288314773490099E-7</v>
          </cell>
          <cell r="G251">
            <v>1.0325653563256401E-6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17.176522319400075</v>
          </cell>
          <cell r="E252">
            <v>17.176524053251896</v>
          </cell>
          <cell r="F252">
            <v>16.935470026200012</v>
          </cell>
          <cell r="G252">
            <v>16.06208767721186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4.6262405836559405E-2</v>
          </cell>
          <cell r="E253">
            <v>0.11723666405938769</v>
          </cell>
          <cell r="F253">
            <v>0.12393937739440308</v>
          </cell>
          <cell r="G253">
            <v>0.35008907131092581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4.6262405836559391E-2</v>
          </cell>
          <cell r="E254">
            <v>0.11723666405938769</v>
          </cell>
          <cell r="F254">
            <v>0.12393937739440308</v>
          </cell>
          <cell r="G254">
            <v>0.3500890713109257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4.6267770944706972E-2</v>
          </cell>
          <cell r="E255">
            <v>0.11724972054180265</v>
          </cell>
          <cell r="F255">
            <v>0.12395745528298041</v>
          </cell>
          <cell r="G255">
            <v>0.35012838317300399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4.6267770944706972E-2</v>
          </cell>
          <cell r="E256">
            <v>0.11724972054180265</v>
          </cell>
          <cell r="F256">
            <v>0.12395745528298041</v>
          </cell>
          <cell r="G256">
            <v>0.35012838317300399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8.2968490602465493E-3</v>
          </cell>
          <cell r="E257">
            <v>0.76421577496989801</v>
          </cell>
          <cell r="F257">
            <v>0.175936028627834</v>
          </cell>
          <cell r="G257">
            <v>3.7830206151710901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8.2968490602465493E-3</v>
          </cell>
          <cell r="E258">
            <v>0.76209705166678299</v>
          </cell>
          <cell r="F258">
            <v>0.89160492238293287</v>
          </cell>
          <cell r="G258">
            <v>4.3150778941664036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8.3011454031531997</v>
          </cell>
          <cell r="E259">
            <v>12.02151449517565</v>
          </cell>
          <cell r="F259">
            <v>12.024555781657844</v>
          </cell>
          <cell r="G259">
            <v>7.4588277286231275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0.12404059460166289</v>
          </cell>
          <cell r="E260">
            <v>0.17988174842127719</v>
          </cell>
          <cell r="F260">
            <v>0.17992891098011346</v>
          </cell>
          <cell r="G260">
            <v>0.11163776749515338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0.11248164502917629</v>
          </cell>
          <cell r="E261">
            <v>0.16289315034113327</v>
          </cell>
          <cell r="F261">
            <v>0.16293436018506538</v>
          </cell>
          <cell r="G261">
            <v>0.10106812640410752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2.6280034268894999E-5</v>
          </cell>
          <cell r="F262">
            <v>3.0812450390111202E-5</v>
          </cell>
          <cell r="G262">
            <v>3.4760792758118902E-5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4.2720750083279503E-2</v>
          </cell>
          <cell r="E263">
            <v>6.1915321897800954E-2</v>
          </cell>
          <cell r="F263">
            <v>6.1946270739199803E-2</v>
          </cell>
          <cell r="G263">
            <v>5.368533481261055E-2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0.15037452498288909</v>
          </cell>
          <cell r="E264">
            <v>1.0702016178151872</v>
          </cell>
          <cell r="F264">
            <v>3.5810111903963309</v>
          </cell>
          <cell r="G264">
            <v>10.610361911969532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0.15037452498288909</v>
          </cell>
          <cell r="E265">
            <v>1.070201617815187</v>
          </cell>
          <cell r="F265">
            <v>3.58101119039633</v>
          </cell>
          <cell r="G265">
            <v>10.61036191196953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0.15039034289134179</v>
          </cell>
          <cell r="E266">
            <v>1.0703099803231677</v>
          </cell>
          <cell r="F266">
            <v>3.5813750100410466</v>
          </cell>
          <cell r="G266">
            <v>10.611427369214789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0.15039034289134179</v>
          </cell>
          <cell r="E267">
            <v>1.0703099803231677</v>
          </cell>
          <cell r="F267">
            <v>3.5813750100410466</v>
          </cell>
          <cell r="G267">
            <v>10.611427369214789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2.4029972356854799E-2</v>
          </cell>
          <cell r="E268">
            <v>13.122314876138701</v>
          </cell>
          <cell r="F268">
            <v>41.765096618842101</v>
          </cell>
          <cell r="G268">
            <v>124.328463030278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2.4029972356854799E-2</v>
          </cell>
          <cell r="E269">
            <v>12.970946390412381</v>
          </cell>
          <cell r="F269">
            <v>53.428963617625143</v>
          </cell>
          <cell r="G269">
            <v>163.86564638181463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11.50322721151101</v>
          </cell>
          <cell r="E270">
            <v>14.519977173759969</v>
          </cell>
          <cell r="F270">
            <v>14.596250003761465</v>
          </cell>
          <cell r="G270">
            <v>14.502266325532661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0.1136959930916797</v>
          </cell>
          <cell r="E271">
            <v>0.143659585560658</v>
          </cell>
          <cell r="F271">
            <v>0.14441491258073696</v>
          </cell>
          <cell r="G271">
            <v>0.1434866397884958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0.1558702874188484</v>
          </cell>
          <cell r="E272">
            <v>0.19674765818102927</v>
          </cell>
          <cell r="F272">
            <v>0.19778116536262175</v>
          </cell>
          <cell r="G272">
            <v>0.19650767378770528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1.2251933574100399E-5</v>
          </cell>
          <cell r="F273">
            <v>1.4021371740766E-5</v>
          </cell>
          <cell r="G273">
            <v>1.5337693280677999E-5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5.3235313237965806E-2</v>
          </cell>
          <cell r="E274">
            <v>6.907165231026148E-2</v>
          </cell>
          <cell r="F274">
            <v>6.9085945543138363E-2</v>
          </cell>
          <cell r="G274">
            <v>6.910153226623332E-2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4722.2882178718601</v>
          </cell>
          <cell r="E275">
            <v>3812.9933394797099</v>
          </cell>
          <cell r="F275">
            <v>3094.5702918175102</v>
          </cell>
          <cell r="G275">
            <v>879.91601109974897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18.302988001126618</v>
          </cell>
          <cell r="E276">
            <v>15.114982010285239</v>
          </cell>
          <cell r="F276">
            <v>12.676511638962117</v>
          </cell>
          <cell r="G276">
            <v>3.7984844808519886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63.987645228615996</v>
          </cell>
          <cell r="E277">
            <v>51.666576415714154</v>
          </cell>
          <cell r="F277">
            <v>41.931846772595065</v>
          </cell>
          <cell r="G277">
            <v>11.92298118021338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2.4943270000000002</v>
          </cell>
          <cell r="E278">
            <v>2.16175006666667</v>
          </cell>
          <cell r="F278">
            <v>1.6628846666666701</v>
          </cell>
          <cell r="G278">
            <v>0.83144233333333339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7.5726349987070396</v>
          </cell>
          <cell r="E279">
            <v>9.2727708175229182</v>
          </cell>
          <cell r="F279">
            <v>9.3213580996825947</v>
          </cell>
          <cell r="G279">
            <v>9.2684929692561351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6.9344164532638142E-2</v>
          </cell>
          <cell r="E280">
            <v>8.498948679113158E-2</v>
          </cell>
          <cell r="F280">
            <v>8.5435254755551318E-2</v>
          </cell>
          <cell r="G280">
            <v>8.4951425120084245E-2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0.10261023033478388</v>
          </cell>
          <cell r="E281">
            <v>0.1256473010504463</v>
          </cell>
          <cell r="F281">
            <v>0.12630566530735235</v>
          </cell>
          <cell r="G281">
            <v>0.12558933562677649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7.2258494312319699E-6</v>
          </cell>
          <cell r="F282">
            <v>7.8385330585351197E-6</v>
          </cell>
          <cell r="G282">
            <v>6.8752787872612397E-6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3.2744388260803524E-2</v>
          </cell>
          <cell r="E283">
            <v>4.0881562764951911E-2</v>
          </cell>
          <cell r="F283">
            <v>4.0889690311556558E-2</v>
          </cell>
          <cell r="G283">
            <v>4.0896835151674853E-2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3821.2760259304</v>
          </cell>
          <cell r="E284">
            <v>3569.7775466826201</v>
          </cell>
          <cell r="F284">
            <v>2537.9775873806898</v>
          </cell>
          <cell r="G284">
            <v>1175.1387111832801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17.673714424519488</v>
          </cell>
          <cell r="E285">
            <v>17.235951165673395</v>
          </cell>
          <cell r="F285">
            <v>13.02775157405412</v>
          </cell>
          <cell r="G285">
            <v>6.6291507723532961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52.132005810783085</v>
          </cell>
          <cell r="E286">
            <v>48.700921509994856</v>
          </cell>
          <cell r="F286">
            <v>34.624523702328709</v>
          </cell>
          <cell r="G286">
            <v>16.031906018871542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1.059558</v>
          </cell>
          <cell r="E287">
            <v>0.91828359999999998</v>
          </cell>
          <cell r="F287">
            <v>0.706372</v>
          </cell>
          <cell r="G287">
            <v>0.353186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4.9481789613460794E-5</v>
          </cell>
          <cell r="F288">
            <v>6.0672125693681908E-5</v>
          </cell>
          <cell r="G288">
            <v>1.0331472375594155E-4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2.7166740742910807E-5</v>
          </cell>
          <cell r="F289">
            <v>3.3310515280820994E-5</v>
          </cell>
          <cell r="G289">
            <v>5.6722368716421432E-5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4.030558888489251E-3</v>
          </cell>
          <cell r="E290">
            <v>1.1947434858654087E-2</v>
          </cell>
          <cell r="F290">
            <v>1.3940154727550641E-2</v>
          </cell>
          <cell r="G290">
            <v>1.8206436444033861E-2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2.6814315468601142E-3</v>
          </cell>
          <cell r="E291">
            <v>7.9483341195045101E-3</v>
          </cell>
          <cell r="F291">
            <v>9.2740415631481256E-3</v>
          </cell>
          <cell r="G291">
            <v>1.211229370109383E-2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3.0941266328485328E-5</v>
          </cell>
          <cell r="F292">
            <v>4.3957596294527406E-5</v>
          </cell>
          <cell r="G292">
            <v>8.5653579302948698E-5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1.6987529496601948E-5</v>
          </cell>
          <cell r="F293">
            <v>2.4133820371971826E-5</v>
          </cell>
          <cell r="G293">
            <v>4.702595845467464E-5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3.5370833501607003E-2</v>
          </cell>
          <cell r="G294">
            <v>3.726366700321395E-2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0.65830556959273911</v>
          </cell>
          <cell r="G295">
            <v>0.7379148962536346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9.6626111080822849E-2</v>
          </cell>
          <cell r="F296">
            <v>0.22962838557176715</v>
          </cell>
          <cell r="G296">
            <v>1.4752421351356844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6.8961262081119357E-2</v>
          </cell>
          <cell r="F297">
            <v>0.16388389330326433</v>
          </cell>
          <cell r="G297">
            <v>1.0528681986291055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2.2606262818651563E-5</v>
          </cell>
          <cell r="F298">
            <v>8.6997513892145655E-5</v>
          </cell>
          <cell r="G298">
            <v>2.2841597506250005E-4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1.5039389810593712E-5</v>
          </cell>
          <cell r="F299">
            <v>5.787730304971146E-5</v>
          </cell>
          <cell r="G299">
            <v>1.5195952181434918E-4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147.13295930655201</v>
          </cell>
          <cell r="E300">
            <v>110.581735852211</v>
          </cell>
          <cell r="F300">
            <v>76.947275069056303</v>
          </cell>
          <cell r="G300">
            <v>33.433461619986197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1.5374499195592601</v>
          </cell>
          <cell r="E301">
            <v>1.1795959492843118</v>
          </cell>
          <cell r="F301">
            <v>0.84594892378320741</v>
          </cell>
          <cell r="G301">
            <v>0.38576743421029031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1.9936715353191363</v>
          </cell>
          <cell r="E302">
            <v>1.4983975047725102</v>
          </cell>
          <cell r="F302">
            <v>1.0426460036457499</v>
          </cell>
          <cell r="G302">
            <v>0.45302793523016488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0.55779800000000002</v>
          </cell>
          <cell r="E303">
            <v>0.48342493333333297</v>
          </cell>
          <cell r="F303">
            <v>0.37186497450952599</v>
          </cell>
          <cell r="G303">
            <v>0.18593249970814077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2.3510763597730536E-2</v>
          </cell>
          <cell r="F304">
            <v>2.7389422978796298E-2</v>
          </cell>
          <cell r="G304">
            <v>3.3963608889163742E-2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1.7553211807625483E-2</v>
          </cell>
          <cell r="F305">
            <v>2.0449031390961055E-2</v>
          </cell>
          <cell r="G305">
            <v>2.5357339760772007E-2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1.452068696556E-2</v>
          </cell>
          <cell r="F306">
            <v>0.19147294892910779</v>
          </cell>
          <cell r="G306">
            <v>1.0680860027405221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1.0363295057919525E-2</v>
          </cell>
          <cell r="F307">
            <v>0.13665267146579357</v>
          </cell>
          <cell r="G307">
            <v>0.76228421009880165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1.4091484015056671E-3</v>
          </cell>
          <cell r="F308">
            <v>9.5952938561041326E-4</v>
          </cell>
          <cell r="G308">
            <v>2.3972881288072032E-3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1.0520747340759919E-3</v>
          </cell>
          <cell r="F309">
            <v>7.1638772901813142E-4</v>
          </cell>
          <cell r="G309">
            <v>1.789823036327112E-3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1.4563847689666249</v>
          </cell>
          <cell r="E310">
            <v>1.2557510795566535</v>
          </cell>
          <cell r="F310">
            <v>1.7826009283275488</v>
          </cell>
          <cell r="G310">
            <v>6.2078567190180251E-3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8.2780736595516862E-3</v>
          </cell>
          <cell r="E311">
            <v>7.1376741614837137E-3</v>
          </cell>
          <cell r="F311">
            <v>1.0132282419261446E-2</v>
          </cell>
          <cell r="G311">
            <v>3.5285383562777214E-5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2.582242498167775E-2</v>
          </cell>
          <cell r="E312">
            <v>2.2265090063061221E-2</v>
          </cell>
          <cell r="F312">
            <v>3.1606399438431729E-2</v>
          </cell>
          <cell r="G312">
            <v>1.1006838154287271E-4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E313">
            <v>6.4807357085049703E-7</v>
          </cell>
          <cell r="F313">
            <v>6.9723317561522399E-7</v>
          </cell>
          <cell r="G313">
            <v>6.0429529304390103E-7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5.8249122655439566E-4</v>
          </cell>
          <cell r="E314">
            <v>7.0911046724936961E-4</v>
          </cell>
          <cell r="F314">
            <v>7.0987302221653284E-4</v>
          </cell>
          <cell r="G314">
            <v>2.8885515393965006E-6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2.4289109601345463E-2</v>
          </cell>
          <cell r="E315">
            <v>5.3747748967412551E-2</v>
          </cell>
          <cell r="F315">
            <v>0.21078700198873163</v>
          </cell>
          <cell r="G315">
            <v>0.85641962116038706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3.5648109997505943E-2</v>
          </cell>
          <cell r="E316">
            <v>7.8883322557140062E-2</v>
          </cell>
          <cell r="F316">
            <v>0.30936326428872407</v>
          </cell>
          <cell r="G316">
            <v>1.2569312486224984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1.15554708953872E-3</v>
          </cell>
          <cell r="F317">
            <v>1.0952333206305001E-2</v>
          </cell>
          <cell r="G317">
            <v>4.59651391974773E-2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1.6989478871528726E-3</v>
          </cell>
          <cell r="E318">
            <v>3.7475470895387201E-3</v>
          </cell>
          <cell r="F318">
            <v>1.46998802958437E-2</v>
          </cell>
          <cell r="G318">
            <v>5.970193368852067E-2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1.5528773535307088E-4</v>
          </cell>
          <cell r="E319">
            <v>3.3423439986446596E-4</v>
          </cell>
          <cell r="F319">
            <v>3.161885070173378E-4</v>
          </cell>
          <cell r="G319">
            <v>6.4639977782368921E-2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4.1006209874996344E-4</v>
          </cell>
          <cell r="E320">
            <v>8.7242349075469555E-4</v>
          </cell>
          <cell r="F320">
            <v>8.1300033119696474E-4</v>
          </cell>
          <cell r="G320">
            <v>0.14452453550198582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7.6691414535622297E-7</v>
          </cell>
          <cell r="F321">
            <v>1.29739498512983E-6</v>
          </cell>
          <cell r="G321">
            <v>1.4079870357437199E-3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3.3713942307692301E-6</v>
          </cell>
          <cell r="E322">
            <v>7.5097026068946834E-6</v>
          </cell>
          <cell r="F322">
            <v>7.0337138419204409E-6</v>
          </cell>
          <cell r="G322">
            <v>1.4106086728568805E-3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4.3975340152684392E-4</v>
          </cell>
          <cell r="E323">
            <v>5.9691284560629485E-4</v>
          </cell>
          <cell r="F323">
            <v>6.3188353006055434E-4</v>
          </cell>
          <cell r="G323">
            <v>2.2468763799472522E-2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1.5980531832089182E-3</v>
          </cell>
          <cell r="E324">
            <v>2.1362121886500792E-3</v>
          </cell>
          <cell r="F324">
            <v>2.2533216617448655E-3</v>
          </cell>
          <cell r="G324">
            <v>6.9527367291210979E-2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3.2956183174019898E-7</v>
          </cell>
          <cell r="F325">
            <v>7.1949325845352596E-7</v>
          </cell>
          <cell r="G325">
            <v>4.7667631057414701E-4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9.6046427002415304E-6</v>
          </cell>
          <cell r="E326">
            <v>1.3320241699319089E-5</v>
          </cell>
          <cell r="F326">
            <v>1.3931571107057639E-5</v>
          </cell>
          <cell r="G326">
            <v>4.8833900596454653E-4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6.4714437065426647E-5</v>
          </cell>
          <cell r="E327">
            <v>1.5324522662836355E-4</v>
          </cell>
          <cell r="F327">
            <v>1.6339225031169915E-4</v>
          </cell>
          <cell r="G327">
            <v>1.1865373978210273E-4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3.5368799839796715E-4</v>
          </cell>
          <cell r="E328">
            <v>8.2768741452316256E-4</v>
          </cell>
          <cell r="F328">
            <v>8.7916250479403238E-4</v>
          </cell>
          <cell r="G328">
            <v>6.112284327403671E-4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1.53379690048705E-7</v>
          </cell>
          <cell r="F329">
            <v>2.0142334958486401E-7</v>
          </cell>
          <cell r="G329">
            <v>7.2016091411666099E-7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1.4143376381382643E-6</v>
          </cell>
          <cell r="E330">
            <v>3.4205050352181053E-6</v>
          </cell>
          <cell r="F330">
            <v>3.6272716638266595E-6</v>
          </cell>
          <cell r="G330">
            <v>2.6481129674395879E-6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2.7723178257248606E-6</v>
          </cell>
          <cell r="F331">
            <v>4.7166402674753832E-6</v>
          </cell>
          <cell r="G331">
            <v>2.8814097798273882E-6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2.1926945639249644E-5</v>
          </cell>
          <cell r="F332">
            <v>3.6485197696673973E-5</v>
          </cell>
          <cell r="G332">
            <v>2.0522568823553507E-5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7.1498864964499099E-8</v>
          </cell>
          <cell r="F333">
            <v>6.1083990849838304E-8</v>
          </cell>
          <cell r="G333">
            <v>7.4764206259047305E-8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7.1498864964499099E-8</v>
          </cell>
          <cell r="F334">
            <v>1.3258285581433699E-7</v>
          </cell>
          <cell r="G334">
            <v>1.2602224274447059E-7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1.3983342791472604E-2</v>
          </cell>
          <cell r="E335">
            <v>2.234244388282099E-2</v>
          </cell>
          <cell r="F335">
            <v>1.5957542115139809E-2</v>
          </cell>
          <cell r="G335">
            <v>1.4655609060190731E-2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7.7184738716292983E-3</v>
          </cell>
          <cell r="E336">
            <v>1.2332499596810409E-2</v>
          </cell>
          <cell r="F336">
            <v>8.8081851176702759E-3</v>
          </cell>
          <cell r="G336">
            <v>8.0895489219414852E-3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3.42633244576003E-5</v>
          </cell>
          <cell r="E337">
            <v>2.15768367252292E-4</v>
          </cell>
          <cell r="F337">
            <v>1.14560930391782E-4</v>
          </cell>
          <cell r="G337">
            <v>2.4525124376905999E-4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1.5059561139957678E-3</v>
          </cell>
          <cell r="E338">
            <v>2.3871980263837351E-3</v>
          </cell>
          <cell r="F338">
            <v>2.4175265045414795E-3</v>
          </cell>
          <cell r="G338">
            <v>2.2214007114089098E-3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16.1920263423996</v>
          </cell>
          <cell r="E339">
            <v>7.9406025098904003</v>
          </cell>
          <cell r="F339">
            <v>11.3741493886813</v>
          </cell>
          <cell r="G339">
            <v>0.35722263542508398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0.30932912473665458</v>
          </cell>
          <cell r="E340">
            <v>0.1564698182051345</v>
          </cell>
          <cell r="F340">
            <v>0.22224694212431398</v>
          </cell>
          <cell r="G340">
            <v>6.7646293708096923E-3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0.28709266564538216</v>
          </cell>
          <cell r="E341">
            <v>0.14079082464344669</v>
          </cell>
          <cell r="F341">
            <v>0.20166931540215083</v>
          </cell>
          <cell r="G341">
            <v>6.3337346706575154E-3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2.3223154863957634E-2</v>
          </cell>
          <cell r="E342">
            <v>1.5325964309500178E-2</v>
          </cell>
          <cell r="F342">
            <v>2.0378997529361852E-2</v>
          </cell>
          <cell r="G342">
            <v>2.5768975259022123E-4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8.5207340009548708E-4</v>
          </cell>
          <cell r="F343">
            <v>9.0748739423878626E-4</v>
          </cell>
          <cell r="G343">
            <v>1.9735584921287412E-4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5.2509822322094497E-8</v>
          </cell>
          <cell r="E344">
            <v>1.9161737511842199E-8</v>
          </cell>
          <cell r="F344">
            <v>2.1042827657592599E-8</v>
          </cell>
          <cell r="G344">
            <v>2.19448041719882E-8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0.95961774559146629</v>
          </cell>
          <cell r="E345">
            <v>0.95961776475320382</v>
          </cell>
          <cell r="F345">
            <v>0.95961778579603152</v>
          </cell>
          <cell r="G345">
            <v>0.95961780774083572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9.6907940660372463E-2</v>
          </cell>
          <cell r="E346">
            <v>0.14995594092923872</v>
          </cell>
          <cell r="F346">
            <v>0.18647685153598598</v>
          </cell>
          <cell r="G346">
            <v>7.6275572225201689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6.620307103599167E-2</v>
          </cell>
          <cell r="E347">
            <v>0.10244303760823706</v>
          </cell>
          <cell r="F347">
            <v>0.12739245272037039</v>
          </cell>
          <cell r="G347">
            <v>5.2107980955175224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6.7085088226995004E-5</v>
          </cell>
          <cell r="E348">
            <v>1.2164697062221699E-4</v>
          </cell>
          <cell r="F348">
            <v>3.26022592852319E-3</v>
          </cell>
          <cell r="G348">
            <v>0.59799211212910097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7.3541441986071246E-3</v>
          </cell>
          <cell r="E349">
            <v>1.1377548160844169E-2</v>
          </cell>
          <cell r="F349">
            <v>1.4149086379460331E-2</v>
          </cell>
          <cell r="G349">
            <v>0.57872634942262946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2.7954903715017018E-2</v>
          </cell>
          <cell r="E350">
            <v>2.4242832174881618E-2</v>
          </cell>
          <cell r="F350">
            <v>1.8635733440193231E-2</v>
          </cell>
          <cell r="G350">
            <v>9.3158154740924978E-3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4.056003595660073E-2</v>
          </cell>
          <cell r="E351">
            <v>3.4849358932842439E-2</v>
          </cell>
          <cell r="F351">
            <v>2.6423102776511668E-2</v>
          </cell>
          <cell r="G351">
            <v>1.320864298198568E-2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1.9499999999999999E-3</v>
          </cell>
          <cell r="E352">
            <v>1.6900000000000001E-3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6.187378075806458E-2</v>
          </cell>
          <cell r="E353">
            <v>0.15679683570742928</v>
          </cell>
          <cell r="F353">
            <v>0.16575740885088086</v>
          </cell>
          <cell r="G353">
            <v>0.46799427450537323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4.6262405836559432E-2</v>
          </cell>
          <cell r="E354">
            <v>0.11723542279966412</v>
          </cell>
          <cell r="F354">
            <v>0.12393515354525129</v>
          </cell>
          <cell r="G354">
            <v>0.3499146292839368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5.013110440148E-5</v>
          </cell>
          <cell r="E355">
            <v>4.6667405770797104E-3</v>
          </cell>
          <cell r="F355">
            <v>1.0918189391432799E-3</v>
          </cell>
          <cell r="G355">
            <v>2.41298576156974E-2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4.2712573813513096E-3</v>
          </cell>
          <cell r="E356">
            <v>1.0782050150493279E-2</v>
          </cell>
          <cell r="F356">
            <v>1.1402791995902609E-2</v>
          </cell>
          <cell r="G356">
            <v>3.2181775899894009E-2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0.19473093824349375</v>
          </cell>
          <cell r="E357">
            <v>1.3858797367548119</v>
          </cell>
          <cell r="F357">
            <v>4.6373070976830792</v>
          </cell>
          <cell r="G357">
            <v>13.739947313918925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0.15037452498288956</v>
          </cell>
          <cell r="E358">
            <v>1.0701997791297504</v>
          </cell>
          <cell r="F358">
            <v>3.5810069951078796</v>
          </cell>
          <cell r="G358">
            <v>10.610219769171758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1.4894752914175E-4</v>
          </cell>
          <cell r="E359">
            <v>8.2139194923694397E-2</v>
          </cell>
          <cell r="F359">
            <v>0.26535226436057602</v>
          </cell>
          <cell r="G359">
            <v>0.81017892991337404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1.5351731027099028E-2</v>
          </cell>
          <cell r="E360">
            <v>0.10912593110266927</v>
          </cell>
          <cell r="F360">
            <v>0.36515229318185394</v>
          </cell>
          <cell r="G360">
            <v>1.0818928757716175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2.8178341254582202E-3</v>
          </cell>
          <cell r="F361">
            <v>1.343444288884311E-2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6.0072586224769788E-6</v>
          </cell>
          <cell r="F362">
            <v>2.9799284591957362E-5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4.9961597969117362E-5</v>
          </cell>
          <cell r="F363">
            <v>2.3819934200076449E-4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1.7999395863691001E-7</v>
          </cell>
          <cell r="F364">
            <v>5.1354505489004803E-7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1.7999395863691001E-7</v>
          </cell>
          <cell r="F365">
            <v>6.9353901352695801E-7</v>
          </cell>
          <cell r="G365">
            <v>3.4565885119549886E-9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5.0670216466196816E-6</v>
          </cell>
          <cell r="F366">
            <v>8.5079154209976734E-6</v>
          </cell>
          <cell r="G366">
            <v>4.0056452760387024E-6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1.0894397463237786E-5</v>
          </cell>
          <cell r="F367">
            <v>1.7933815476686906E-5</v>
          </cell>
          <cell r="G367">
            <v>8.112273166886119E-6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4.4341685067665401E-7</v>
          </cell>
          <cell r="F368">
            <v>2.9752782103897302E-7</v>
          </cell>
          <cell r="G368">
            <v>9.21604176627869E-8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4.4341685067665401E-7</v>
          </cell>
          <cell r="F369">
            <v>7.4094467171562597E-7</v>
          </cell>
          <cell r="G369">
            <v>3.0521819136013901E-7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1.30971344314156E-3</v>
          </cell>
          <cell r="F370">
            <v>9.7410169851088104E-3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1.9738142390838395E-6</v>
          </cell>
          <cell r="F371">
            <v>1.5300823329025253E-5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2.3221869559247504E-5</v>
          </cell>
          <cell r="F372">
            <v>1.727130671118581E-4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7.5911905366828606E-8</v>
          </cell>
          <cell r="F373">
            <v>2.8272144483027401E-7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7.5911905366828606E-8</v>
          </cell>
          <cell r="F374">
            <v>3.5863335019710298E-7</v>
          </cell>
          <cell r="G374">
            <v>3.4810599776910141E-9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1.9568752952993311E-2</v>
          </cell>
          <cell r="E375">
            <v>0.15030416376772104</v>
          </cell>
          <cell r="F375">
            <v>15.07475924331688</v>
          </cell>
          <cell r="G375">
            <v>2.97153889454099E-3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3.308244985912206E-5</v>
          </cell>
          <cell r="E376">
            <v>2.622403828861115E-4</v>
          </cell>
          <cell r="F376">
            <v>2.7832647581648891E-2</v>
          </cell>
          <cell r="G376">
            <v>5.0236101768583088E-6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2.6696798025911716E-4</v>
          </cell>
          <cell r="E377">
            <v>2.0505342942390352E-3</v>
          </cell>
          <cell r="F377">
            <v>0.20565837985425528</v>
          </cell>
          <cell r="G377">
            <v>4.0539411930982129E-5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4.3861958673662096E-6</v>
          </cell>
          <cell r="F378">
            <v>5.1988829765900295E-4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5.2181227309386422E-6</v>
          </cell>
          <cell r="F379">
            <v>5.251064203899414E-4</v>
          </cell>
          <cell r="G379">
            <v>1.2309169790836617E-7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9.03277138418202E-4</v>
          </cell>
          <cell r="F380">
            <v>6.2647972975740894E-3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9.0363161801979023E-7</v>
          </cell>
          <cell r="F381">
            <v>6.5306840408937762E-6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1.6015552099613519E-5</v>
          </cell>
          <cell r="F382">
            <v>1.1107796626904402E-4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4.3222674324862399E-8</v>
          </cell>
          <cell r="F383">
            <v>1.2967786162524899E-7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4.3222674324862399E-8</v>
          </cell>
          <cell r="F384">
            <v>1.7290053595011101E-7</v>
          </cell>
          <cell r="G384">
            <v>7.7722999537640197E-9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8.1501668524608295</v>
          </cell>
          <cell r="E385">
            <v>9.9225951160471784</v>
          </cell>
          <cell r="F385">
            <v>16.234334548453177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9.7252558214827485E-3</v>
          </cell>
          <cell r="E386">
            <v>1.1883038662334217E-2</v>
          </cell>
          <cell r="F386">
            <v>2.0076317199409274E-2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0.1111891794332994</v>
          </cell>
          <cell r="E387">
            <v>0.13536964687649622</v>
          </cell>
          <cell r="F387">
            <v>0.22147796109758797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6.8083757737575397E-6</v>
          </cell>
          <cell r="F388">
            <v>1.5389877117238899E-4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1.8448915608925697E-4</v>
          </cell>
          <cell r="E389">
            <v>2.2466891402464652E-4</v>
          </cell>
          <cell r="F389">
            <v>3.78671985202124E-4</v>
          </cell>
          <cell r="G389">
            <v>-9.3556050270119512E-9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F390">
            <v>1.01729772787622E-8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F391">
            <v>1.01729772787622E-8</v>
          </cell>
          <cell r="G391">
            <v>7.4435344730010101E-9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44.792590057354062</v>
          </cell>
          <cell r="E392">
            <v>63.743218455106472</v>
          </cell>
          <cell r="F392">
            <v>63.759368744529446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3.5412134394524439E-2</v>
          </cell>
          <cell r="E393">
            <v>5.0528873594463612E-2</v>
          </cell>
          <cell r="F393">
            <v>5.0542130690975594E-2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0.61108581251506344</v>
          </cell>
          <cell r="E394">
            <v>0.8696209884734849</v>
          </cell>
          <cell r="F394">
            <v>0.86984131984351143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4.2239352776315E-7</v>
          </cell>
          <cell r="F395">
            <v>1.15352024370365E-7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8.0670702998663344E-4</v>
          </cell>
          <cell r="E396">
            <v>9.5295726056209376E-4</v>
          </cell>
          <cell r="F396">
            <v>9.5309400434256952E-4</v>
          </cell>
          <cell r="G396">
            <v>-4.315265299460096E-8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0.20016394034960833</v>
          </cell>
          <cell r="F397">
            <v>1.4131747941756099E-3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1.0553386078116482E-4</v>
          </cell>
          <cell r="F398">
            <v>7.4946294012063805E-7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2.7307495272797899E-3</v>
          </cell>
          <cell r="F399">
            <v>1.9279328706352115E-5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2.5446008978227988E-6</v>
          </cell>
          <cell r="E400">
            <v>1.5870815831992859E-9</v>
          </cell>
          <cell r="F400">
            <v>3.5915141427019507E-8</v>
          </cell>
          <cell r="G400">
            <v>-2.7669226191678931E-8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5.0592856291484898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5.0592856291484898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7.7879543815437E-3</v>
          </cell>
          <cell r="E403">
            <v>7.75851326361342E-3</v>
          </cell>
          <cell r="F403">
            <v>7.7022645735601199E-3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1.3739732256129349E-3</v>
          </cell>
          <cell r="E404">
            <v>1.0973065606061122E-3</v>
          </cell>
          <cell r="F404">
            <v>6.8509453163211986E-4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1.3808429754510126E-4</v>
          </cell>
          <cell r="E405">
            <v>1.3756229190803917E-4</v>
          </cell>
          <cell r="F405">
            <v>1.3656497470851268E-4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1.4861396303901497E-5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1.27103698329853</v>
          </cell>
          <cell r="E407">
            <v>1.2694188326498801</v>
          </cell>
          <cell r="F407">
            <v>1.2644547800575601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0.24221977894283864</v>
          </cell>
          <cell r="E408">
            <v>0.19378287284498624</v>
          </cell>
          <cell r="F408">
            <v>0.12111458980889132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1.734020441062115E-2</v>
          </cell>
          <cell r="E409">
            <v>1.7318128685537313E-2</v>
          </cell>
          <cell r="F409">
            <v>1.7250406276365121E-2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2.2839181087762699E-3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3.564848812214029E-2</v>
          </cell>
          <cell r="E411">
            <v>7.8890349058320403E-2</v>
          </cell>
          <cell r="F411">
            <v>0.30939387447752087</v>
          </cell>
          <cell r="G411">
            <v>1.2571741265555096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3.564848812214029E-2</v>
          </cell>
          <cell r="E412">
            <v>7.8890349058320403E-2</v>
          </cell>
          <cell r="F412">
            <v>0.30939387447752087</v>
          </cell>
          <cell r="G412">
            <v>1.2571741265555096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3.7692577424523598E-3</v>
          </cell>
          <cell r="E413">
            <v>4.5699974036945102E-3</v>
          </cell>
          <cell r="F413">
            <v>2.4363941386608402E-2</v>
          </cell>
          <cell r="G413">
            <v>0.10179595059592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3.7692577424523598E-3</v>
          </cell>
          <cell r="E414">
            <v>8.3392551461468692E-3</v>
          </cell>
          <cell r="F414">
            <v>3.2703196532755302E-2</v>
          </cell>
          <cell r="G414">
            <v>0.13288233928434601</v>
          </cell>
        </row>
        <row r="415">
          <cell r="A415" t="str">
            <v>T_C-HYBGSLEXT</v>
          </cell>
          <cell r="B415" t="str">
            <v>VAR_fout</v>
          </cell>
          <cell r="C415" t="str">
            <v>CO2_T</v>
          </cell>
          <cell r="D415">
            <v>92.549422659254901</v>
          </cell>
          <cell r="E415">
            <v>91.724485391032701</v>
          </cell>
          <cell r="F415">
            <v>68.278605892806596</v>
          </cell>
          <cell r="G415">
            <v>32.395658075030198</v>
          </cell>
        </row>
        <row r="416">
          <cell r="A416" t="str">
            <v>T_C-HYBGSLEXT</v>
          </cell>
          <cell r="B416" t="str">
            <v>VAR_fout</v>
          </cell>
          <cell r="C416" t="str">
            <v>TPCAR</v>
          </cell>
          <cell r="D416">
            <v>0.61924761885841817</v>
          </cell>
          <cell r="E416">
            <v>0.62769403035179239</v>
          </cell>
          <cell r="F416">
            <v>0.48284215456694068</v>
          </cell>
          <cell r="G416">
            <v>0.24142212545943434</v>
          </cell>
        </row>
        <row r="417">
          <cell r="A417" t="str">
            <v>T_C-HYBGSLEXT</v>
          </cell>
          <cell r="B417" t="str">
            <v>VAR_fin</v>
          </cell>
          <cell r="C417" t="str">
            <v>TGSL</v>
          </cell>
          <cell r="D417">
            <v>1.2540572176050819</v>
          </cell>
          <cell r="E417">
            <v>1.2428792058405518</v>
          </cell>
          <cell r="F417">
            <v>0.92518436169114793</v>
          </cell>
          <cell r="G417">
            <v>0.43896555657222525</v>
          </cell>
        </row>
        <row r="418">
          <cell r="A418" t="str">
            <v>T_C-HYBGSLEXT</v>
          </cell>
          <cell r="B418" t="str">
            <v>VAR_cap</v>
          </cell>
          <cell r="C418" t="str">
            <v>-</v>
          </cell>
          <cell r="D418">
            <v>6.5841999999999998E-2</v>
          </cell>
          <cell r="E418">
            <v>5.7063066666666697E-2</v>
          </cell>
          <cell r="F418">
            <v>4.38946666666667E-2</v>
          </cell>
          <cell r="G418">
            <v>2.1947333333333301E-2</v>
          </cell>
        </row>
        <row r="419">
          <cell r="A419" t="str">
            <v>TPAVDKEREXT</v>
          </cell>
          <cell r="B419" t="str">
            <v>VAR_fout</v>
          </cell>
          <cell r="C419" t="str">
            <v>CO2_T</v>
          </cell>
          <cell r="D419">
            <v>79.576349423418094</v>
          </cell>
          <cell r="E419">
            <v>100.796237247683</v>
          </cell>
          <cell r="F419">
            <v>132.626068984081</v>
          </cell>
          <cell r="G419">
            <v>185.675788544743</v>
          </cell>
        </row>
        <row r="420">
          <cell r="A420" t="str">
            <v>TPAVDKEREXT</v>
          </cell>
          <cell r="B420" t="str">
            <v>VAR_fout</v>
          </cell>
          <cell r="C420" t="str">
            <v>TPAVD</v>
          </cell>
          <cell r="D420">
            <v>1.0930817228491501</v>
          </cell>
          <cell r="E420">
            <v>1.3845636984571901</v>
          </cell>
          <cell r="F420">
            <v>1.82178666186924</v>
          </cell>
          <cell r="G420">
            <v>2.5504916008893299</v>
          </cell>
        </row>
        <row r="421">
          <cell r="A421" t="str">
            <v>TPAVDKEREXT</v>
          </cell>
          <cell r="B421" t="str">
            <v>VAR_fin</v>
          </cell>
          <cell r="C421" t="str">
            <v>TKER</v>
          </cell>
          <cell r="D421">
            <v>1.0930817228491501</v>
          </cell>
          <cell r="E421">
            <v>1.3845636984571901</v>
          </cell>
          <cell r="F421">
            <v>1.82178666186924</v>
          </cell>
          <cell r="G421">
            <v>2.5504916008893299</v>
          </cell>
        </row>
        <row r="422">
          <cell r="A422" t="str">
            <v>TPAVDKEREXT</v>
          </cell>
          <cell r="B422" t="str">
            <v>VAR_ncap</v>
          </cell>
          <cell r="C422" t="str">
            <v>-</v>
          </cell>
          <cell r="D422">
            <v>0.37103174509485798</v>
          </cell>
          <cell r="E422">
            <v>0.92433551029231198</v>
          </cell>
          <cell r="F422">
            <v>0.81026822788238395</v>
          </cell>
          <cell r="G422">
            <v>1.2030036367141499</v>
          </cell>
        </row>
        <row r="423">
          <cell r="A423" t="str">
            <v>TPAVDKEREXT</v>
          </cell>
          <cell r="B423" t="str">
            <v>VAR_cap</v>
          </cell>
          <cell r="C423" t="str">
            <v>-</v>
          </cell>
          <cell r="D423">
            <v>1.464113467944008</v>
          </cell>
          <cell r="E423">
            <v>2.3884489782363199</v>
          </cell>
          <cell r="F423">
            <v>2.4360463624102953</v>
          </cell>
          <cell r="G423">
            <v>2.9649151878095408</v>
          </cell>
        </row>
        <row r="424">
          <cell r="A424" t="str">
            <v>T_C-ICE-GSL-S1</v>
          </cell>
          <cell r="B424" t="str">
            <v>VAR_fout</v>
          </cell>
          <cell r="C424" t="str">
            <v>CO2_T</v>
          </cell>
          <cell r="D424">
            <v>36.545527261512312</v>
          </cell>
          <cell r="E424">
            <v>40.629768008610348</v>
          </cell>
          <cell r="F424">
            <v>101.67222642602385</v>
          </cell>
          <cell r="G424">
            <v>163.50977605920912</v>
          </cell>
        </row>
        <row r="425">
          <cell r="A425" t="str">
            <v>T_C-ICE-GSL-S1</v>
          </cell>
          <cell r="B425" t="str">
            <v>VAR_fout</v>
          </cell>
          <cell r="C425" t="str">
            <v>TPCAR</v>
          </cell>
          <cell r="D425">
            <v>0.33840088256824075</v>
          </cell>
          <cell r="E425">
            <v>0.37223212104381259</v>
          </cell>
          <cell r="F425">
            <v>0.85506372431041389</v>
          </cell>
          <cell r="G425">
            <v>1.3305550939590569</v>
          </cell>
        </row>
        <row r="426">
          <cell r="A426" t="str">
            <v>T_C-ICE-GSL-S1</v>
          </cell>
          <cell r="B426" t="str">
            <v>VAR_fin</v>
          </cell>
          <cell r="C426" t="str">
            <v>TGSL</v>
          </cell>
          <cell r="D426">
            <v>0.49519684636195571</v>
          </cell>
          <cell r="E426">
            <v>0.55053886190529056</v>
          </cell>
          <cell r="F426">
            <v>1.3776724447970712</v>
          </cell>
          <cell r="G426">
            <v>2.2155796213984935</v>
          </cell>
        </row>
        <row r="427">
          <cell r="A427" t="str">
            <v>T_C-ICE-GSL-S1</v>
          </cell>
          <cell r="B427" t="str">
            <v>VAR_ncap</v>
          </cell>
          <cell r="C427" t="str">
            <v>-</v>
          </cell>
          <cell r="E427">
            <v>1.18088135911726E-5</v>
          </cell>
          <cell r="F427">
            <v>9.1860149300836705E-2</v>
          </cell>
          <cell r="G427">
            <v>9.7482542703953706E-2</v>
          </cell>
        </row>
        <row r="428">
          <cell r="A428" t="str">
            <v>T_C-ICE-GSL-S1</v>
          </cell>
          <cell r="B428" t="str">
            <v>VAR_cap</v>
          </cell>
          <cell r="C428" t="str">
            <v>-</v>
          </cell>
          <cell r="D428">
            <v>3.6542773617589494E-2</v>
          </cell>
          <cell r="E428">
            <v>3.976882528743169E-2</v>
          </cell>
          <cell r="F428">
            <v>0.1299413380809358</v>
          </cell>
          <cell r="G428">
            <v>0.2022063286914331</v>
          </cell>
        </row>
        <row r="429">
          <cell r="A429" t="str">
            <v>V2G</v>
          </cell>
          <cell r="B429" t="str">
            <v>VAR_fout</v>
          </cell>
          <cell r="C429" t="str">
            <v>ELC35</v>
          </cell>
          <cell r="G429">
            <v>4.0559774601468066E-3</v>
          </cell>
        </row>
        <row r="430">
          <cell r="A430" t="str">
            <v>V2G</v>
          </cell>
          <cell r="B430" t="str">
            <v>VAR_fin</v>
          </cell>
          <cell r="C430" t="str">
            <v>T-ELC-Bus_c_BatSTGout_S1</v>
          </cell>
          <cell r="G430">
            <v>1.1051524539554566E-4</v>
          </cell>
        </row>
        <row r="431">
          <cell r="A431" t="str">
            <v>V2G</v>
          </cell>
          <cell r="B431" t="str">
            <v>VAR_fin</v>
          </cell>
          <cell r="C431" t="str">
            <v>T-ELC-Bus_c_BatSTGout_S2</v>
          </cell>
          <cell r="G431">
            <v>1.0523264640754656E-4</v>
          </cell>
        </row>
        <row r="432">
          <cell r="A432" t="str">
            <v>V2G</v>
          </cell>
          <cell r="B432" t="str">
            <v>VAR_fin</v>
          </cell>
          <cell r="C432" t="str">
            <v>T-ELC-Bus_c_BatSTGout_S3</v>
          </cell>
          <cell r="G432">
            <v>7.0027794583910589E-5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T-ELC-Bus_c_BatSTGout_S4</v>
          </cell>
          <cell r="G433">
            <v>9.8551287386395835E-5</v>
          </cell>
        </row>
        <row r="434">
          <cell r="A434" t="str">
            <v>V2G</v>
          </cell>
          <cell r="B434" t="str">
            <v>VAR_fin</v>
          </cell>
          <cell r="C434" t="str">
            <v>T-ELC-car-BatSTGOut_S1</v>
          </cell>
          <cell r="G434">
            <v>3.5653101350887592E-4</v>
          </cell>
        </row>
        <row r="435">
          <cell r="A435" t="str">
            <v>V2G</v>
          </cell>
          <cell r="B435" t="str">
            <v>VAR_fin</v>
          </cell>
          <cell r="C435" t="str">
            <v>T-ELC-car-BatSTGOut_S2</v>
          </cell>
          <cell r="G435">
            <v>1.4412154505481E-4</v>
          </cell>
        </row>
        <row r="436">
          <cell r="A436" t="str">
            <v>V2G</v>
          </cell>
          <cell r="B436" t="str">
            <v>VAR_fin</v>
          </cell>
          <cell r="C436" t="str">
            <v>T-ELC-car-BatSTGOut_S3</v>
          </cell>
          <cell r="G436">
            <v>1.7087188353178754E-4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T-ELC-car-BatSTGOut_S4</v>
          </cell>
          <cell r="G437">
            <v>1.3862433180768306E-4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T-ELC-car-PlgSTGOut_S1</v>
          </cell>
          <cell r="G438">
            <v>1.641341130912228E-4</v>
          </cell>
        </row>
        <row r="439">
          <cell r="A439" t="str">
            <v>V2G</v>
          </cell>
          <cell r="B439" t="str">
            <v>VAR_fin</v>
          </cell>
          <cell r="C439" t="str">
            <v>T-ELC-car-PlgSTGOut_S2</v>
          </cell>
          <cell r="G439">
            <v>3.3146198355678729E-5</v>
          </cell>
        </row>
        <row r="440">
          <cell r="A440" t="str">
            <v>V2G</v>
          </cell>
          <cell r="B440" t="str">
            <v>VAR_fin</v>
          </cell>
          <cell r="C440" t="str">
            <v>T-ELC-car-PlgSTGOut_S3</v>
          </cell>
          <cell r="G440">
            <v>1.4315134062945986E-4</v>
          </cell>
        </row>
        <row r="441">
          <cell r="A441" t="str">
            <v>V2G</v>
          </cell>
          <cell r="B441" t="str">
            <v>VAR_fin</v>
          </cell>
          <cell r="C441" t="str">
            <v>T-ELC-TWSTGout_S1</v>
          </cell>
          <cell r="G441">
            <v>3.3367212887668658E-4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T-ELC-car-PlgSTGOut_S4</v>
          </cell>
          <cell r="G442">
            <v>3.2210423011573359E-5</v>
          </cell>
        </row>
        <row r="443">
          <cell r="A443" t="str">
            <v>V2G</v>
          </cell>
          <cell r="B443" t="str">
            <v>VAR_fin</v>
          </cell>
          <cell r="C443" t="str">
            <v>T-ELC-TWSTGout_S2</v>
          </cell>
          <cell r="G443">
            <v>4.811290159065512E-4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T-ELC-TWSTGout_S3</v>
          </cell>
          <cell r="G444">
            <v>6.1519210636479824E-4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T-ELC-TWSTGout_S4</v>
          </cell>
          <cell r="G445">
            <v>6.7767259032902431E-4</v>
          </cell>
        </row>
        <row r="446">
          <cell r="A446" t="str">
            <v>V2G</v>
          </cell>
          <cell r="B446" t="str">
            <v>VAR_fin</v>
          </cell>
          <cell r="C446" t="str">
            <v>T-ELC-Bus_u_BatSTGout_S1</v>
          </cell>
          <cell r="G446">
            <v>3.1366742089048324E-5</v>
          </cell>
        </row>
        <row r="447">
          <cell r="A447" t="str">
            <v>V2G</v>
          </cell>
          <cell r="B447" t="str">
            <v>VAR_fin</v>
          </cell>
          <cell r="C447" t="str">
            <v>T-ELC-Bus_u_BatSTGout_S2</v>
          </cell>
          <cell r="G447">
            <v>2.7144698591220553E-5</v>
          </cell>
        </row>
        <row r="448">
          <cell r="A448" t="str">
            <v>V2G</v>
          </cell>
          <cell r="B448" t="str">
            <v>VAR_fin</v>
          </cell>
          <cell r="C448" t="str">
            <v>T-ELC-Bus_u_BatSTGout_S3</v>
          </cell>
          <cell r="G448">
            <v>1.6319923972217568E-5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T-ELC-Bus_u_BatSTGout_S4</v>
          </cell>
          <cell r="G449">
            <v>4.4370224915129209E-5</v>
          </cell>
        </row>
        <row r="450">
          <cell r="A450" t="str">
            <v>V2G</v>
          </cell>
          <cell r="B450" t="str">
            <v>VAR_fin</v>
          </cell>
          <cell r="C450" t="str">
            <v>T-ELC-LGV_BatSTGout</v>
          </cell>
          <cell r="G450">
            <v>1.1838371020137065E-4</v>
          </cell>
        </row>
        <row r="451">
          <cell r="A451" t="str">
            <v>V2G</v>
          </cell>
          <cell r="B451" t="str">
            <v>VAR_fin</v>
          </cell>
          <cell r="C451" t="str">
            <v>T-ELC-HGV_BatSTGout</v>
          </cell>
          <cell r="G451">
            <v>1.7355249151725357E-4</v>
          </cell>
        </row>
        <row r="452">
          <cell r="A452" t="str">
            <v>V2G</v>
          </cell>
          <cell r="B452" t="str">
            <v>VAR_ncap</v>
          </cell>
          <cell r="C452" t="str">
            <v>-</v>
          </cell>
          <cell r="G452">
            <v>1.1084331294218301E-3</v>
          </cell>
        </row>
        <row r="453">
          <cell r="A453" t="str">
            <v>V2G</v>
          </cell>
          <cell r="B453" t="str">
            <v>VAR_cap</v>
          </cell>
          <cell r="C453" t="str">
            <v>-</v>
          </cell>
          <cell r="G453">
            <v>1.1084331294218301E-3</v>
          </cell>
        </row>
        <row r="454">
          <cell r="A454" t="str">
            <v>TPSHPELCEXT</v>
          </cell>
          <cell r="B454" t="str">
            <v>VAR_fout</v>
          </cell>
          <cell r="C454" t="str">
            <v>TPSHP</v>
          </cell>
          <cell r="E454">
            <v>8.9491362900520094E-2</v>
          </cell>
          <cell r="F454">
            <v>8.9492977064677806E-2</v>
          </cell>
          <cell r="G454">
            <v>8.9503310796425206E-2</v>
          </cell>
        </row>
        <row r="455">
          <cell r="A455" t="str">
            <v>TPSHPELCEXT</v>
          </cell>
          <cell r="B455" t="str">
            <v>VAR_fin</v>
          </cell>
          <cell r="C455" t="str">
            <v>TELC</v>
          </cell>
          <cell r="E455">
            <v>3.6269627254836186E-2</v>
          </cell>
          <cell r="F455">
            <v>3.6270281453525711E-2</v>
          </cell>
          <cell r="G455">
            <v>3.6274469573881467E-2</v>
          </cell>
        </row>
        <row r="456">
          <cell r="A456" t="str">
            <v>TPSHPELCEXT</v>
          </cell>
          <cell r="B456" t="str">
            <v>VAR_ncap</v>
          </cell>
          <cell r="C456" t="str">
            <v>-</v>
          </cell>
          <cell r="D456">
            <v>1.30538828619357E-6</v>
          </cell>
          <cell r="E456">
            <v>8.9490276668892296E-2</v>
          </cell>
          <cell r="F456">
            <v>1.25746203661136E-6</v>
          </cell>
          <cell r="G456">
            <v>1.03235536549808E-6</v>
          </cell>
        </row>
        <row r="457">
          <cell r="A457" t="str">
            <v>TPSHPELCEXT</v>
          </cell>
          <cell r="B457" t="str">
            <v>VAR_cap</v>
          </cell>
          <cell r="C457" t="str">
            <v>-</v>
          </cell>
          <cell r="D457">
            <v>1.30538828619357E-6</v>
          </cell>
          <cell r="E457">
            <v>8.9491582057178498E-2</v>
          </cell>
          <cell r="F457">
            <v>8.9492526329082056E-2</v>
          </cell>
          <cell r="G457">
            <v>8.9492911714159032E-2</v>
          </cell>
        </row>
        <row r="458">
          <cell r="A458" t="str">
            <v>TFLGV-ICEGSL</v>
          </cell>
          <cell r="B458" t="str">
            <v>VAR_fout</v>
          </cell>
          <cell r="C458" t="str">
            <v>CO2_T</v>
          </cell>
          <cell r="D458">
            <v>37.172891416222861</v>
          </cell>
          <cell r="E458">
            <v>42.667746666657358</v>
          </cell>
          <cell r="F458">
            <v>68.587922576323166</v>
          </cell>
          <cell r="G458">
            <v>100.6251509441604</v>
          </cell>
        </row>
        <row r="459">
          <cell r="A459" t="str">
            <v>TFLGV-ICEGSL</v>
          </cell>
          <cell r="B459" t="str">
            <v>VAR_fout</v>
          </cell>
          <cell r="C459" t="str">
            <v>TFLGV</v>
          </cell>
          <cell r="D459">
            <v>0.17691355331768635</v>
          </cell>
          <cell r="E459">
            <v>0.20306471698252013</v>
          </cell>
          <cell r="F459">
            <v>0.32642424722334512</v>
          </cell>
          <cell r="G459">
            <v>0.47889610757830181</v>
          </cell>
        </row>
        <row r="460">
          <cell r="A460" t="str">
            <v>TFLGV-ICEGSL</v>
          </cell>
          <cell r="B460" t="str">
            <v>VAR_fin</v>
          </cell>
          <cell r="C460" t="str">
            <v>TGSL</v>
          </cell>
          <cell r="D460">
            <v>0.50369771566697585</v>
          </cell>
          <cell r="E460">
            <v>0.57815374887069693</v>
          </cell>
          <cell r="F460">
            <v>0.92937564466562284</v>
          </cell>
          <cell r="G460">
            <v>1.3634844301376754</v>
          </cell>
        </row>
        <row r="461">
          <cell r="A461" t="str">
            <v>TFLGV-ICEGSL</v>
          </cell>
          <cell r="B461" t="str">
            <v>VAR_ncap</v>
          </cell>
          <cell r="C461" t="str">
            <v>-</v>
          </cell>
          <cell r="E461">
            <v>3.6079798744418003E-5</v>
          </cell>
          <cell r="F461">
            <v>1.2380986188723299E-2</v>
          </cell>
          <cell r="G461">
            <v>2.7486610540009799E-2</v>
          </cell>
        </row>
        <row r="462">
          <cell r="A462" t="str">
            <v>TFLGV-ICEGSL</v>
          </cell>
          <cell r="B462" t="str">
            <v>VAR_cap</v>
          </cell>
          <cell r="C462" t="str">
            <v>-</v>
          </cell>
          <cell r="D462">
            <v>1.2434931894382469E-2</v>
          </cell>
          <cell r="E462">
            <v>1.4158079798744417E-2</v>
          </cell>
          <cell r="F462">
            <v>2.6539065987467698E-2</v>
          </cell>
          <cell r="G462">
            <v>4.7598583362717689E-2</v>
          </cell>
        </row>
        <row r="463">
          <cell r="A463" t="str">
            <v>T_C-ICE-GSL-S2</v>
          </cell>
          <cell r="B463" t="str">
            <v>VAR_fout</v>
          </cell>
          <cell r="C463" t="str">
            <v>CO2_T</v>
          </cell>
          <cell r="D463">
            <v>286.7166606919987</v>
          </cell>
          <cell r="E463">
            <v>391.63890939761046</v>
          </cell>
          <cell r="F463">
            <v>511.3457175529943</v>
          </cell>
          <cell r="G463">
            <v>412.71406671022891</v>
          </cell>
        </row>
        <row r="464">
          <cell r="A464" t="str">
            <v>T_C-ICE-GSL-S2</v>
          </cell>
          <cell r="B464" t="str">
            <v>VAR_fout</v>
          </cell>
          <cell r="C464" t="str">
            <v>TPCAR</v>
          </cell>
          <cell r="D464">
            <v>2.3602082734823493</v>
          </cell>
          <cell r="E464">
            <v>3.2077157552734468</v>
          </cell>
          <cell r="F464">
            <v>4.1026955545345904</v>
          </cell>
          <cell r="G464">
            <v>3.3250323755707143</v>
          </cell>
        </row>
        <row r="465">
          <cell r="A465" t="str">
            <v>T_C-ICE-GSL-S2</v>
          </cell>
          <cell r="B465" t="str">
            <v>VAR_fin</v>
          </cell>
          <cell r="C465" t="str">
            <v>TGSL</v>
          </cell>
          <cell r="D465">
            <v>3.8850496028726145</v>
          </cell>
          <cell r="E465">
            <v>5.3067602899405211</v>
          </cell>
          <cell r="F465">
            <v>6.9288037608806778</v>
          </cell>
          <cell r="G465">
            <v>5.5923315272388674</v>
          </cell>
        </row>
        <row r="466">
          <cell r="A466" t="str">
            <v>T_C-ICE-GSL-S2</v>
          </cell>
          <cell r="B466" t="str">
            <v>VAR_ncap</v>
          </cell>
          <cell r="C466" t="str">
            <v>-</v>
          </cell>
          <cell r="E466">
            <v>7.2563281736540203E-6</v>
          </cell>
          <cell r="F466">
            <v>7.2211253620355798E-2</v>
          </cell>
          <cell r="G466">
            <v>2.4827207599458201E-5</v>
          </cell>
        </row>
        <row r="467">
          <cell r="A467" t="str">
            <v>T_C-ICE-GSL-S2</v>
          </cell>
          <cell r="B467" t="str">
            <v>VAR_cap</v>
          </cell>
          <cell r="C467" t="str">
            <v>-</v>
          </cell>
          <cell r="D467">
            <v>0.21743082758424429</v>
          </cell>
          <cell r="E467">
            <v>0.24337921371634744</v>
          </cell>
          <cell r="F467">
            <v>0.31128511909586992</v>
          </cell>
          <cell r="G467">
            <v>0.25228240495668253</v>
          </cell>
        </row>
        <row r="468">
          <cell r="A468" t="str">
            <v>T_C-ICE-DSL-S1</v>
          </cell>
          <cell r="B468" t="str">
            <v>VAR_fout</v>
          </cell>
          <cell r="C468" t="str">
            <v>CO2_T</v>
          </cell>
          <cell r="D468">
            <v>0.38803906555104856</v>
          </cell>
          <cell r="E468">
            <v>0.43333221032393526</v>
          </cell>
          <cell r="F468">
            <v>0.31750948507769167</v>
          </cell>
          <cell r="G468">
            <v>0.22975675590489092</v>
          </cell>
        </row>
        <row r="469">
          <cell r="A469" t="str">
            <v>T_C-ICE-DSL-S1</v>
          </cell>
          <cell r="B469" t="str">
            <v>VAR_fout</v>
          </cell>
          <cell r="C469" t="str">
            <v>TPCAR</v>
          </cell>
          <cell r="D469">
            <v>3.9735454921882183E-3</v>
          </cell>
          <cell r="E469">
            <v>4.5304693678477736E-3</v>
          </cell>
          <cell r="F469">
            <v>3.3272787389763479E-3</v>
          </cell>
          <cell r="G469">
            <v>2.4667912549687552E-3</v>
          </cell>
        </row>
        <row r="470">
          <cell r="A470" t="str">
            <v>T_C-ICE-DSL-S1</v>
          </cell>
          <cell r="B470" t="str">
            <v>VAR_fin</v>
          </cell>
          <cell r="C470" t="str">
            <v>TDSL</v>
          </cell>
          <cell r="D470">
            <v>5.293848097558649E-3</v>
          </cell>
          <cell r="E470">
            <v>5.91176276021739E-3</v>
          </cell>
          <cell r="F470">
            <v>4.3316437254801009E-3</v>
          </cell>
          <cell r="G470">
            <v>3.1344714311717725E-3</v>
          </cell>
        </row>
        <row r="471">
          <cell r="A471" t="str">
            <v>T_C-ICE-DSL-S1</v>
          </cell>
          <cell r="B471" t="str">
            <v>VAR_ncap</v>
          </cell>
          <cell r="C471" t="str">
            <v>-</v>
          </cell>
          <cell r="E471">
            <v>1.19785006521852E-5</v>
          </cell>
          <cell r="F471">
            <v>2.0390690395384599E-5</v>
          </cell>
          <cell r="G471">
            <v>1.4201991355319601E-5</v>
          </cell>
        </row>
        <row r="472">
          <cell r="A472" t="str">
            <v>T_C-ICE-DSL-S1</v>
          </cell>
          <cell r="B472" t="str">
            <v>VAR_cap</v>
          </cell>
          <cell r="C472" t="str">
            <v>-</v>
          </cell>
          <cell r="D472">
            <v>4.4465691838591515E-4</v>
          </cell>
          <cell r="E472">
            <v>4.8476969179081346E-4</v>
          </cell>
          <cell r="F472">
            <v>5.010337840079096E-4</v>
          </cell>
          <cell r="G472">
            <v>3.7143668749505671E-4</v>
          </cell>
        </row>
        <row r="473">
          <cell r="A473" t="str">
            <v>T_C-ICE-GSL-S3</v>
          </cell>
          <cell r="B473" t="str">
            <v>VAR_fout</v>
          </cell>
          <cell r="C473" t="str">
            <v>CO2_T</v>
          </cell>
          <cell r="D473">
            <v>303.8381005882012</v>
          </cell>
          <cell r="E473">
            <v>423.61773236610475</v>
          </cell>
          <cell r="F473">
            <v>502.98063550716017</v>
          </cell>
          <cell r="G473">
            <v>411.42702290830272</v>
          </cell>
        </row>
        <row r="474">
          <cell r="A474" t="str">
            <v>T_C-ICE-GSL-S3</v>
          </cell>
          <cell r="B474" t="str">
            <v>VAR_fout</v>
          </cell>
          <cell r="C474" t="str">
            <v>TPCAR</v>
          </cell>
          <cell r="D474">
            <v>2.1370002796024221</v>
          </cell>
          <cell r="E474">
            <v>2.9620380690167485</v>
          </cell>
          <cell r="F474">
            <v>3.4777259694163307</v>
          </cell>
          <cell r="G474">
            <v>2.8618135615378311</v>
          </cell>
        </row>
        <row r="475">
          <cell r="A475" t="str">
            <v>T_C-ICE-GSL-S3</v>
          </cell>
          <cell r="B475" t="str">
            <v>VAR_fin</v>
          </cell>
          <cell r="C475" t="str">
            <v>TGSL</v>
          </cell>
          <cell r="D475">
            <v>4.1170474334444584</v>
          </cell>
          <cell r="E475">
            <v>5.7400776743374511</v>
          </cell>
          <cell r="F475">
            <v>6.8154557656796779</v>
          </cell>
          <cell r="G475">
            <v>5.5748919093266105</v>
          </cell>
        </row>
        <row r="476">
          <cell r="A476" t="str">
            <v>T_C-ICE-GSL-S3</v>
          </cell>
          <cell r="B476" t="str">
            <v>VAR_ncap</v>
          </cell>
          <cell r="C476" t="str">
            <v>-</v>
          </cell>
          <cell r="E476">
            <v>8.9168771200575399E-6</v>
          </cell>
          <cell r="F476">
            <v>3.9119243949954002E-2</v>
          </cell>
          <cell r="G476">
            <v>1.8368534114476101E-5</v>
          </cell>
        </row>
        <row r="477">
          <cell r="A477" t="str">
            <v>T_C-ICE-GSL-S3</v>
          </cell>
          <cell r="B477" t="str">
            <v>VAR_cap</v>
          </cell>
          <cell r="C477" t="str">
            <v>-</v>
          </cell>
          <cell r="D477">
            <v>0.18201253589393093</v>
          </cell>
          <cell r="E477">
            <v>0.20366271220038373</v>
          </cell>
          <cell r="F477">
            <v>0.23912645479668979</v>
          </cell>
          <cell r="G477">
            <v>0.1967747091474896</v>
          </cell>
        </row>
        <row r="478">
          <cell r="A478" t="str">
            <v>T_C-ICE-DSL-S2</v>
          </cell>
          <cell r="B478" t="str">
            <v>VAR_fout</v>
          </cell>
          <cell r="C478" t="str">
            <v>CO2_T</v>
          </cell>
          <cell r="D478">
            <v>77.923751126875743</v>
          </cell>
          <cell r="E478">
            <v>94.050484474053135</v>
          </cell>
          <cell r="F478">
            <v>81.454408853084615</v>
          </cell>
          <cell r="G478">
            <v>60.734045303627234</v>
          </cell>
        </row>
        <row r="479">
          <cell r="A479" t="str">
            <v>T_C-ICE-DSL-S2</v>
          </cell>
          <cell r="B479" t="str">
            <v>VAR_fout</v>
          </cell>
          <cell r="C479" t="str">
            <v>TPCAR</v>
          </cell>
          <cell r="D479">
            <v>0.77432700451008374</v>
          </cell>
          <cell r="E479">
            <v>0.90295667263028812</v>
          </cell>
          <cell r="F479">
            <v>0.81675132323614541</v>
          </cell>
          <cell r="G479">
            <v>0.63219079111762722</v>
          </cell>
        </row>
        <row r="480">
          <cell r="A480" t="str">
            <v>T_C-ICE-DSL-S2</v>
          </cell>
          <cell r="B480" t="str">
            <v>VAR_fin</v>
          </cell>
          <cell r="C480" t="str">
            <v>TDSL</v>
          </cell>
          <cell r="D480">
            <v>1.0630798243775721</v>
          </cell>
          <cell r="E480">
            <v>1.2830898291139603</v>
          </cell>
          <cell r="F480">
            <v>1.1112470512017041</v>
          </cell>
          <cell r="G480">
            <v>0.8285681487534402</v>
          </cell>
        </row>
        <row r="481">
          <cell r="A481" t="str">
            <v>T_C-ICE-DSL-S2</v>
          </cell>
          <cell r="B481" t="str">
            <v>VAR_ncap</v>
          </cell>
          <cell r="C481" t="str">
            <v>-</v>
          </cell>
          <cell r="E481">
            <v>5.3164386669359103E-6</v>
          </cell>
          <cell r="F481">
            <v>1.1804338680265899E-5</v>
          </cell>
          <cell r="G481">
            <v>6.7294947494539504E-6</v>
          </cell>
        </row>
        <row r="482">
          <cell r="A482" t="str">
            <v>T_C-ICE-DSL-S2</v>
          </cell>
          <cell r="B482" t="str">
            <v>VAR_cap</v>
          </cell>
          <cell r="C482" t="str">
            <v>-</v>
          </cell>
          <cell r="D482">
            <v>6.4569606817228481E-2</v>
          </cell>
          <cell r="E482">
            <v>6.8510065392165614E-2</v>
          </cell>
          <cell r="F482">
            <v>6.7901019301008697E-2</v>
          </cell>
          <cell r="G482">
            <v>5.148201171989366E-2</v>
          </cell>
        </row>
        <row r="483">
          <cell r="A483" t="str">
            <v>TPRLPH2OFCL</v>
          </cell>
          <cell r="B483" t="str">
            <v>VAR_fout</v>
          </cell>
          <cell r="C483" t="str">
            <v>TPRLP</v>
          </cell>
        </row>
        <row r="484">
          <cell r="A484" t="str">
            <v>TPRLPH2OFCL</v>
          </cell>
          <cell r="B484" t="str">
            <v>VAR_fin</v>
          </cell>
          <cell r="C484" t="str">
            <v>TH2O</v>
          </cell>
        </row>
        <row r="485">
          <cell r="A485" t="str">
            <v>TPRLPH2OFCL</v>
          </cell>
          <cell r="B485" t="str">
            <v>VAR_ncap</v>
          </cell>
          <cell r="C485" t="str">
            <v>-</v>
          </cell>
        </row>
        <row r="486">
          <cell r="A486" t="str">
            <v>TPRLPH2OFCL</v>
          </cell>
          <cell r="B486" t="str">
            <v>VAR_cap</v>
          </cell>
          <cell r="C486" t="str">
            <v>-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D487">
            <v>286.8156085763539</v>
          </cell>
          <cell r="E487">
            <v>387.77248760912551</v>
          </cell>
          <cell r="F487">
            <v>627.7620782247127</v>
          </cell>
          <cell r="G487">
            <v>518.81476833689862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D488">
            <v>1.7111951513878778</v>
          </cell>
          <cell r="E488">
            <v>2.276700540852544</v>
          </cell>
          <cell r="F488">
            <v>3.6900128483659782</v>
          </cell>
          <cell r="G488">
            <v>3.0755064039886815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D489">
            <v>3.8863903601131979</v>
          </cell>
          <cell r="E489">
            <v>5.2543697508011382</v>
          </cell>
          <cell r="F489">
            <v>8.5062612225570771</v>
          </cell>
          <cell r="G489">
            <v>7.0300104110690667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E490">
            <v>7.2955473142829397E-6</v>
          </cell>
          <cell r="F490">
            <v>0.11574501818427101</v>
          </cell>
          <cell r="G490">
            <v>4.8217304164457397E-5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D491">
            <v>0.15707572224196165</v>
          </cell>
          <cell r="E491">
            <v>0.17927123455842789</v>
          </cell>
          <cell r="F491">
            <v>0.290573887883457</v>
          </cell>
          <cell r="G491">
            <v>0.242183052029743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D492">
            <v>335.70924063513633</v>
          </cell>
          <cell r="E492">
            <v>390.45209159910371</v>
          </cell>
          <cell r="F492">
            <v>386.71705391251641</v>
          </cell>
          <cell r="G492">
            <v>295.32553730765392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D493">
            <v>2.467103637810756</v>
          </cell>
          <cell r="E493">
            <v>2.836065631770448</v>
          </cell>
          <cell r="F493">
            <v>2.806482360250329</v>
          </cell>
          <cell r="G493">
            <v>2.1805647706465283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D494">
            <v>4.5799350700564352</v>
          </cell>
          <cell r="E494">
            <v>5.3267679617886037</v>
          </cell>
          <cell r="F494">
            <v>5.2758124681107184</v>
          </cell>
          <cell r="G494">
            <v>4.0289977804591244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E495">
            <v>4.6413698385860301E-6</v>
          </cell>
          <cell r="F495">
            <v>8.1474152493747094E-6</v>
          </cell>
          <cell r="G495">
            <v>5.1063222489183497E-6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D496">
            <v>0.18324147760900036</v>
          </cell>
          <cell r="E496">
            <v>0.19500108153048012</v>
          </cell>
          <cell r="F496">
            <v>0.19297502982416803</v>
          </cell>
          <cell r="G496">
            <v>0.14993510242799174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D497">
            <v>142.10956543637622</v>
          </cell>
          <cell r="E497">
            <v>162.05172934297943</v>
          </cell>
          <cell r="F497">
            <v>159.31984382064823</v>
          </cell>
          <cell r="G497">
            <v>117.74972708124469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D498">
            <v>0.903576532906466</v>
          </cell>
          <cell r="E498">
            <v>1.0075730143870487</v>
          </cell>
          <cell r="F498">
            <v>0.99280047935486737</v>
          </cell>
          <cell r="G498">
            <v>0.7495038998846375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D499">
            <v>1.9387389554757966</v>
          </cell>
          <cell r="E499">
            <v>2.2108012188673865</v>
          </cell>
          <cell r="F499">
            <v>2.1735312935968327</v>
          </cell>
          <cell r="G499">
            <v>1.6064082821452221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E500">
            <v>2.1751896218186098E-6</v>
          </cell>
          <cell r="F500">
            <v>4.2773610258486104E-6</v>
          </cell>
          <cell r="G500">
            <v>3.6782044166946701E-6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D501">
            <v>7.126233429968877E-2</v>
          </cell>
          <cell r="E501">
            <v>7.9339626726555826E-2</v>
          </cell>
          <cell r="F501">
            <v>7.8207922219116946E-2</v>
          </cell>
          <cell r="G501">
            <v>6.105882737586827E-2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  <cell r="D502">
            <v>6.07113342453831</v>
          </cell>
          <cell r="E502">
            <v>1.8271504663756</v>
          </cell>
          <cell r="F502">
            <v>3.9568290756937898</v>
          </cell>
          <cell r="G502">
            <v>4.4757261952941196E-3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  <cell r="D503">
            <v>2.988023022029019E-2</v>
          </cell>
          <cell r="E503">
            <v>9.0764781620222591E-3</v>
          </cell>
          <cell r="F503">
            <v>1.9928034140745496E-2</v>
          </cell>
          <cell r="G503">
            <v>2.2541389258471095E-5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  <cell r="D504">
            <v>0.10764420965493442</v>
          </cell>
          <cell r="E504">
            <v>3.2396284864815578E-2</v>
          </cell>
          <cell r="F504">
            <v>7.015654389527988E-2</v>
          </cell>
          <cell r="G504">
            <v>7.9356847434292882E-5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  <cell r="D505">
            <v>2.085E-3</v>
          </cell>
          <cell r="E505">
            <v>1.807E-3</v>
          </cell>
          <cell r="F505">
            <v>1.39E-3</v>
          </cell>
          <cell r="G505">
            <v>1.6239797740119979E-6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D506">
            <v>5943.7237556411001</v>
          </cell>
          <cell r="E506">
            <v>5512.9551094266999</v>
          </cell>
          <cell r="F506">
            <v>5244.1425032564202</v>
          </cell>
          <cell r="G506">
            <v>3161.8796341736702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D507">
            <v>83.950127976317987</v>
          </cell>
          <cell r="E507">
            <v>77.865890768713854</v>
          </cell>
          <cell r="F507">
            <v>74.06912294776194</v>
          </cell>
          <cell r="G507">
            <v>44.659830803997927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D508">
            <v>80.538262271559617</v>
          </cell>
          <cell r="E508">
            <v>74.701288745619181</v>
          </cell>
          <cell r="F508">
            <v>71.058841507539654</v>
          </cell>
          <cell r="G508">
            <v>42.843897482028098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D509">
            <v>4.6640072054864889</v>
          </cell>
          <cell r="E509">
            <v>4.3259956737113407</v>
          </cell>
          <cell r="F509">
            <v>4.115044745544238</v>
          </cell>
          <cell r="G509">
            <v>2.4820487930106023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D510">
            <v>1.735749979108062E-2</v>
          </cell>
          <cell r="E510">
            <v>2.3660886444947748E-2</v>
          </cell>
          <cell r="F510">
            <v>2.3875615852337048E-2</v>
          </cell>
          <cell r="G510">
            <v>1.6236883882030945E-2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D511">
            <v>1.5638898941887358E-3</v>
          </cell>
          <cell r="E511">
            <v>2.1302347981485134E-3</v>
          </cell>
          <cell r="F511">
            <v>2.1493205679388289E-3</v>
          </cell>
          <cell r="G511">
            <v>1.4605435076773881E-3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D512">
            <v>4.2063980157097101E-5</v>
          </cell>
          <cell r="E512">
            <v>2.06303091121242E-4</v>
          </cell>
          <cell r="F512">
            <v>8.2687981089186199E-5</v>
          </cell>
          <cell r="G512">
            <v>1.19321932605908E-4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D513">
            <v>5.9829672583971748E-3</v>
          </cell>
          <cell r="E513">
            <v>8.1432671587843078E-3</v>
          </cell>
          <cell r="F513">
            <v>8.2258757739342367E-3</v>
          </cell>
          <cell r="G513">
            <v>5.6076119305486869E-3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D514">
            <v>2.2620861858348323E-3</v>
          </cell>
          <cell r="E514">
            <v>2.7553921648494789E-3</v>
          </cell>
          <cell r="F514">
            <v>2.8164309707165553E-3</v>
          </cell>
          <cell r="G514">
            <v>2.3963710286976705E-3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D515">
            <v>3.5994548754967871E-4</v>
          </cell>
          <cell r="E515">
            <v>4.3821456800514203E-4</v>
          </cell>
          <cell r="F515">
            <v>4.4776874145314771E-4</v>
          </cell>
          <cell r="G515">
            <v>3.8057357695290899E-4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D516">
            <v>1.0709234669557101E-5</v>
          </cell>
          <cell r="E516">
            <v>3.5220519403624397E-5</v>
          </cell>
          <cell r="F516">
            <v>2.91328388739328E-5</v>
          </cell>
          <cell r="G516">
            <v>3.3241039792450397E-5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D517">
            <v>7.9563711140346542E-4</v>
          </cell>
          <cell r="E517">
            <v>9.4885153936137198E-4</v>
          </cell>
          <cell r="F517">
            <v>9.7794801677687131E-4</v>
          </cell>
          <cell r="G517">
            <v>8.4629834374635386E-4</v>
          </cell>
        </row>
        <row r="518">
          <cell r="A518" t="str">
            <v>TFRLFH2OFCL</v>
          </cell>
          <cell r="B518" t="str">
            <v>VAR_ncap</v>
          </cell>
          <cell r="C518" t="str">
            <v>-</v>
          </cell>
        </row>
        <row r="519">
          <cell r="A519" t="str">
            <v>TFRLFH2OFCL</v>
          </cell>
          <cell r="B519" t="str">
            <v>VAR_cap</v>
          </cell>
          <cell r="C519" t="str">
            <v>-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3.1597760336217094E-4</v>
          </cell>
          <cell r="E520">
            <v>5.4154661703630384E-4</v>
          </cell>
          <cell r="F520">
            <v>5.707159824145338E-4</v>
          </cell>
          <cell r="G520">
            <v>6.0076861328604294E-4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7.7253431537345477E-5</v>
          </cell>
          <cell r="E521">
            <v>1.322066236276E-4</v>
          </cell>
          <cell r="F521">
            <v>1.3918577512165304E-4</v>
          </cell>
          <cell r="G521">
            <v>1.4621931013746099E-4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7.7883976881288904E-6</v>
          </cell>
          <cell r="E522">
            <v>1.7679940594209299E-5</v>
          </cell>
          <cell r="F522">
            <v>1.5698818815099001E-5</v>
          </cell>
          <cell r="G522">
            <v>1.6585224959487E-5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1.1477622394621884E-4</v>
          </cell>
          <cell r="E523">
            <v>1.8744531020146681E-4</v>
          </cell>
          <cell r="F523">
            <v>2.0312374987114187E-4</v>
          </cell>
          <cell r="G523">
            <v>2.1970044208210939E-4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7.7773754377636871E-5</v>
          </cell>
          <cell r="E524">
            <v>1.7668477176910257E-4</v>
          </cell>
          <cell r="F524">
            <v>2.1791615443663882E-4</v>
          </cell>
          <cell r="G524">
            <v>2.4894440981270332E-4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2.0656746240027413E-5</v>
          </cell>
          <cell r="E525">
            <v>4.6793402575256453E-5</v>
          </cell>
          <cell r="F525">
            <v>5.7537756472397454E-5</v>
          </cell>
          <cell r="G525">
            <v>6.5451541834808284E-5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1.6037258838443001E-5</v>
          </cell>
          <cell r="E526">
            <v>1.89289897587454E-5</v>
          </cell>
          <cell r="F526">
            <v>1.7302757535839099E-5</v>
          </cell>
          <cell r="G526">
            <v>1.46178241885768E-5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2.9037258838443002E-5</v>
          </cell>
          <cell r="E527">
            <v>6.1952918203653782E-5</v>
          </cell>
          <cell r="F527">
            <v>7.9269006133027493E-5</v>
          </cell>
          <cell r="G527">
            <v>9.3840710954781954E-5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2.0002679297283338E-3</v>
          </cell>
          <cell r="E528">
            <v>1.6048441278206048E-3</v>
          </cell>
          <cell r="F528">
            <v>1.0027726390878812E-3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4.7732208229624195E-4</v>
          </cell>
          <cell r="E529">
            <v>4.7568544773427814E-4</v>
          </cell>
          <cell r="F529">
            <v>4.6673791165178428E-4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15.394899519446501</v>
          </cell>
          <cell r="F531">
            <v>15.408492860102012</v>
          </cell>
          <cell r="G531">
            <v>8.4747287235343305E-3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3.4132088366209817E-2</v>
          </cell>
          <cell r="F532">
            <v>3.416377688260009E-2</v>
          </cell>
          <cell r="G532">
            <v>2.0325306011045868E-5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0.21002591431714238</v>
          </cell>
          <cell r="F533">
            <v>0.21021136234791268</v>
          </cell>
          <cell r="G533">
            <v>1.1561703579173714E-4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6.4370296065702996E-4</v>
          </cell>
          <cell r="F534">
            <v>6.5009464492263496E-7</v>
          </cell>
          <cell r="G534">
            <v>2.20045914596935E-7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6.4370296065702996E-4</v>
          </cell>
          <cell r="F535">
            <v>6.4435305530195297E-4</v>
          </cell>
          <cell r="G535">
            <v>4.6463631685493469E-7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2.51763757184831E-2</v>
          </cell>
          <cell r="F536">
            <v>3.3698974424082852E-2</v>
          </cell>
          <cell r="G536">
            <v>1.583682870534962E-2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4.0012210918243492E-5</v>
          </cell>
          <cell r="F537">
            <v>5.4219810261387699E-5</v>
          </cell>
          <cell r="G537">
            <v>2.6902939670903176E-5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3.4347033722350722E-4</v>
          </cell>
          <cell r="F538">
            <v>4.5974044234765084E-4</v>
          </cell>
          <cell r="G538">
            <v>2.1605496187380093E-4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7.7080251848507398E-7</v>
          </cell>
          <cell r="F539">
            <v>2.7261469926545701E-7</v>
          </cell>
          <cell r="G539">
            <v>1.88153407616823E-7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7.7080251848507398E-7</v>
          </cell>
          <cell r="F540">
            <v>1.04341721775053E-6</v>
          </cell>
          <cell r="G540">
            <v>5.3539743581189389E-7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2.0958863441841999</v>
          </cell>
          <cell r="F541">
            <v>41.563706921202709</v>
          </cell>
          <cell r="G541">
            <v>71.207133453685827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2.2370177882139472E-3</v>
          </cell>
          <cell r="F542">
            <v>4.6498445682507501E-2</v>
          </cell>
          <cell r="G542">
            <v>8.2539310293134008E-2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2.8593265268542955E-2</v>
          </cell>
          <cell r="F543">
            <v>0.56703556509144171</v>
          </cell>
          <cell r="G543">
            <v>0.9714479325195895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4.2188772436559197E-5</v>
          </cell>
          <cell r="F544">
            <v>8.3466448589540002E-4</v>
          </cell>
          <cell r="G544">
            <v>6.9682832034077499E-4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4.2188772436559197E-5</v>
          </cell>
          <cell r="F545">
            <v>8.7685325833195904E-4</v>
          </cell>
          <cell r="G545">
            <v>1.5564893900130599E-3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3.4285710930719344</v>
          </cell>
          <cell r="E546">
            <v>3.9390125944082568</v>
          </cell>
          <cell r="F546">
            <v>2.7461675523135671</v>
          </cell>
          <cell r="G546">
            <v>2.1231386306225937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5.2613327238380019E-2</v>
          </cell>
          <cell r="E547">
            <v>6.1834130383720529E-2</v>
          </cell>
          <cell r="F547">
            <v>4.2992780198102792E-2</v>
          </cell>
          <cell r="G547">
            <v>3.4491348426549565E-2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4.6457602887153629E-2</v>
          </cell>
          <cell r="E548">
            <v>5.337415439577594E-2</v>
          </cell>
          <cell r="F548">
            <v>3.721094244327338E-2</v>
          </cell>
          <cell r="G548">
            <v>2.8768816133097477E-2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4.7328719600428803E-5</v>
          </cell>
          <cell r="F549">
            <v>3.1184319411069302E-5</v>
          </cell>
          <cell r="G549">
            <v>4.4514483008715897E-5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5.669041603835849E-3</v>
          </cell>
          <cell r="E550">
            <v>6.6064596898502822E-3</v>
          </cell>
          <cell r="F550">
            <v>6.5271458005272025E-3</v>
          </cell>
          <cell r="G550">
            <v>5.236068146323946E-3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29.033457934831201</v>
          </cell>
          <cell r="E556">
            <v>20.325545589191101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1.6053854051671186E-3</v>
          </cell>
          <cell r="E557">
            <v>1.1238872859784281E-3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0.39609083130738326</v>
          </cell>
          <cell r="E558">
            <v>0.27729257284026015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1.4820727069479801E-4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1.4820727069479801E-4</v>
          </cell>
          <cell r="E560">
            <v>1.4820727069479801E-4</v>
          </cell>
          <cell r="F560">
            <v>9.0093272725000426E-8</v>
          </cell>
          <cell r="G560">
            <v>8.4321059631023909E-8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10.070661227515011</v>
          </cell>
          <cell r="E561">
            <v>15.13263941479476</v>
          </cell>
          <cell r="F561">
            <v>54.874552823289847</v>
          </cell>
          <cell r="G561">
            <v>47.506401189937257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0.22050027715236337</v>
          </cell>
          <cell r="E562">
            <v>0.38873392972647403</v>
          </cell>
          <cell r="F562">
            <v>1.403036618757608</v>
          </cell>
          <cell r="G562">
            <v>1.211285151681349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0.13645882422107061</v>
          </cell>
          <cell r="E563">
            <v>0.20504931456361494</v>
          </cell>
          <cell r="F563">
            <v>0.74355762633183964</v>
          </cell>
          <cell r="G563">
            <v>0.64371817330538417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2.6738069652763402E-4</v>
          </cell>
          <cell r="F564">
            <v>7.9757976962129606E-2</v>
          </cell>
          <cell r="G564">
            <v>1.9325024797273402E-5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1.7227052293229423E-2</v>
          </cell>
          <cell r="E565">
            <v>2.9494342476865169E-2</v>
          </cell>
          <cell r="F565">
            <v>0.1070928028963105</v>
          </cell>
          <cell r="G565">
            <v>9.1904371476463909E-2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4.7408745434342502E-7</v>
          </cell>
          <cell r="E566">
            <v>5.1614617366689203E-7</v>
          </cell>
          <cell r="F566">
            <v>1.68126163441407E-6</v>
          </cell>
          <cell r="G566">
            <v>1.1335491554602399E-6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4.7408745434342502E-7</v>
          </cell>
          <cell r="E567">
            <v>9.9023362801031694E-7</v>
          </cell>
          <cell r="F567">
            <v>1.934197190157647E-6</v>
          </cell>
          <cell r="G567">
            <v>1.5784584843393201E-6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2.2671362248562E-3</v>
          </cell>
          <cell r="E568">
            <v>13.438418780809471</v>
          </cell>
          <cell r="F568">
            <v>8.9210256444958187</v>
          </cell>
          <cell r="G568">
            <v>7.173898895857457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1.2936012577120663E-5</v>
          </cell>
          <cell r="E569">
            <v>0.31122686497473573</v>
          </cell>
          <cell r="F569">
            <v>0.2065401335730567</v>
          </cell>
          <cell r="G569">
            <v>0.16596721594262168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3.0929552862976809E-5</v>
          </cell>
          <cell r="E570">
            <v>0.18333449905606444</v>
          </cell>
          <cell r="F570">
            <v>0.12170567045696891</v>
          </cell>
          <cell r="G570">
            <v>9.7870380571043081E-2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3.3697927660164703E-2</v>
          </cell>
          <cell r="F571">
            <v>3.9505084020150499E-5</v>
          </cell>
          <cell r="G571">
            <v>2.1550034164543799E-5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3.3250902063601796E-2</v>
          </cell>
          <cell r="F572">
            <v>3.1386734969282098E-2</v>
          </cell>
          <cell r="G572">
            <v>2.522128816461686E-2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7.5201680834057623</v>
          </cell>
          <cell r="E573">
            <v>91.445105003003619</v>
          </cell>
          <cell r="F573">
            <v>86.478939256387832</v>
          </cell>
          <cell r="G573">
            <v>69.157812678084497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0.20260144370508359</v>
          </cell>
          <cell r="E574">
            <v>3.0919359103714226</v>
          </cell>
          <cell r="F574">
            <v>2.9209423833716532</v>
          </cell>
          <cell r="G574">
            <v>2.3514113278351885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0.10189929652311322</v>
          </cell>
          <cell r="E575">
            <v>1.2390935637263356</v>
          </cell>
          <cell r="F575">
            <v>1.1718013449375044</v>
          </cell>
          <cell r="G575">
            <v>0.93709773276537323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0.189176668715658</v>
          </cell>
          <cell r="F576">
            <v>1.4144138011423399E-5</v>
          </cell>
          <cell r="G576">
            <v>5.5146567939896803E-6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1.4248797121047947E-2</v>
          </cell>
          <cell r="E577">
            <v>0.21259284874868981</v>
          </cell>
          <cell r="F577">
            <v>0.20084176034912071</v>
          </cell>
          <cell r="G577">
            <v>0.16167870700956288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0.21071325959332712</v>
          </cell>
          <cell r="E578">
            <v>49.562432118912547</v>
          </cell>
          <cell r="F578">
            <v>87.756088205589819</v>
          </cell>
          <cell r="G578">
            <v>73.595102800021863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3.3734445161855524E-3</v>
          </cell>
          <cell r="E579">
            <v>1.8130757440291774</v>
          </cell>
          <cell r="F579">
            <v>2.8026684269557243</v>
          </cell>
          <cell r="G579">
            <v>2.3336586108335702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2.8746692986811387E-3</v>
          </cell>
          <cell r="E580">
            <v>0.67615869193605072</v>
          </cell>
          <cell r="F580">
            <v>1.1972181201308298</v>
          </cell>
          <cell r="G580">
            <v>1.0040259590726024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0.13889201752635599</v>
          </cell>
          <cell r="F581">
            <v>8.4074369721864398E-2</v>
          </cell>
          <cell r="G581">
            <v>1.0986831776971601E-5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2.5979045702664378E-4</v>
          </cell>
          <cell r="E582">
            <v>0.13756357887934539</v>
          </cell>
          <cell r="F582">
            <v>0.21264757246404237</v>
          </cell>
          <cell r="G582">
            <v>0.17706340659663519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4.0973353689188318E-4</v>
          </cell>
          <cell r="E583">
            <v>8.7344391935478686E-4</v>
          </cell>
          <cell r="F583">
            <v>8.1492322793346979E-4</v>
          </cell>
          <cell r="G583">
            <v>0.14465250493338314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4.0973353689188318E-4</v>
          </cell>
          <cell r="E584">
            <v>8.7344391935478686E-4</v>
          </cell>
          <cell r="F584">
            <v>8.1492322793346979E-4</v>
          </cell>
          <cell r="G584">
            <v>0.14465250493338314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5.8981833437619703E-5</v>
          </cell>
          <cell r="E585">
            <v>3.7874314465940697E-5</v>
          </cell>
          <cell r="F585">
            <v>1.29970550139413E-5</v>
          </cell>
          <cell r="G585">
            <v>1.8341545078286999E-2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5.8981833437619703E-5</v>
          </cell>
          <cell r="E586">
            <v>9.6856147903560393E-5</v>
          </cell>
          <cell r="F586">
            <v>1.0985320291750199E-4</v>
          </cell>
          <cell r="G586">
            <v>1.8430555090427202E-2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6.6975269247581846</v>
          </cell>
          <cell r="E587">
            <v>9.9732443433540148</v>
          </cell>
          <cell r="F587">
            <v>9.4084282723094521</v>
          </cell>
          <cell r="G587">
            <v>7.9467425077281044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0.10433499808528554</v>
          </cell>
          <cell r="E588">
            <v>0.17912035409520852</v>
          </cell>
          <cell r="F588">
            <v>0.1708632831318796</v>
          </cell>
          <cell r="G588">
            <v>0.14378464470985092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9.0752397354446956E-2</v>
          </cell>
          <cell r="E589">
            <v>0.13513881224056962</v>
          </cell>
          <cell r="F589">
            <v>0.12748547794457218</v>
          </cell>
          <cell r="G589">
            <v>0.10767943777409372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2.67474872674112E-5</v>
          </cell>
          <cell r="F590">
            <v>1.20317178747294E-5</v>
          </cell>
          <cell r="G590">
            <v>6.4076374981682103E-6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8.320393932386122E-3</v>
          </cell>
          <cell r="E591">
            <v>1.4105599746900736E-2</v>
          </cell>
          <cell r="F591">
            <v>1.3538200591512213E-2</v>
          </cell>
          <cell r="G591">
            <v>1.132843884130163E-2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2.1738756758991826</v>
          </cell>
          <cell r="E592">
            <v>3.3192590735678293</v>
          </cell>
          <cell r="F592">
            <v>3.1793980169137912</v>
          </cell>
          <cell r="G592">
            <v>2.3790705422229572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2.658912405943176E-2</v>
          </cell>
          <cell r="E593">
            <v>5.375373636353032E-2</v>
          </cell>
          <cell r="F593">
            <v>5.1280457688772679E-2</v>
          </cell>
          <cell r="G593">
            <v>4.0777102824961955E-2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2.9657239780343601E-2</v>
          </cell>
          <cell r="E594">
            <v>4.5283207006382317E-2</v>
          </cell>
          <cell r="F594">
            <v>4.3375143477677999E-2</v>
          </cell>
          <cell r="G594">
            <v>3.2456624041241021E-2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2.2848303222958798E-5</v>
          </cell>
          <cell r="F595">
            <v>1.06025068005769E-5</v>
          </cell>
          <cell r="G595">
            <v>4.3325107363695304E-6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1.8563744209439594E-3</v>
          </cell>
          <cell r="E596">
            <v>3.6968760461688816E-3</v>
          </cell>
          <cell r="F596">
            <v>3.5297014063966872E-3</v>
          </cell>
          <cell r="G596">
            <v>2.8069994542259786E-3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1.5937538785295959E-3</v>
          </cell>
          <cell r="E597">
            <v>2.1360072403981281E-3</v>
          </cell>
          <cell r="F597">
            <v>2.2536771488991286E-3</v>
          </cell>
          <cell r="G597">
            <v>6.9640755646222213E-2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1.5937538785295959E-3</v>
          </cell>
          <cell r="E598">
            <v>2.1360072403981281E-3</v>
          </cell>
          <cell r="F598">
            <v>2.2536771488991286E-3</v>
          </cell>
          <cell r="G598">
            <v>6.9640755646222213E-2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2.05037616700529E-4</v>
          </cell>
          <cell r="E599">
            <v>3.7165169501271398E-5</v>
          </cell>
          <cell r="F599">
            <v>3.4493975101130601E-5</v>
          </cell>
          <cell r="G599">
            <v>8.6548429679466198E-3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2.05037616700529E-4</v>
          </cell>
          <cell r="E600">
            <v>2.4220278620180099E-4</v>
          </cell>
          <cell r="F600">
            <v>2.7669676130293101E-4</v>
          </cell>
          <cell r="G600">
            <v>8.8716032564733604E-3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2.5978123982880081</v>
          </cell>
          <cell r="E601">
            <v>5.1920370154476618</v>
          </cell>
          <cell r="F601">
            <v>4.9272366800137135</v>
          </cell>
          <cell r="G601">
            <v>4.0365627536652378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4.7701686285912169E-2</v>
          </cell>
          <cell r="E602">
            <v>0.1117251665548029</v>
          </cell>
          <cell r="F602">
            <v>0.10661261003892841</v>
          </cell>
          <cell r="G602">
            <v>8.9377781992343711E-2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3.5440823987558025E-2</v>
          </cell>
          <cell r="E603">
            <v>7.0832701438576673E-2</v>
          </cell>
          <cell r="F603">
            <v>6.7220145702779413E-2</v>
          </cell>
          <cell r="G603">
            <v>5.5069068944955432E-2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2.8960232316345002E-5</v>
          </cell>
          <cell r="F604">
            <v>1.2079146320055101E-5</v>
          </cell>
          <cell r="G604">
            <v>5.1067944484467804E-6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3.7728766898187426E-3</v>
          </cell>
          <cell r="E605">
            <v>8.7983925973811831E-3</v>
          </cell>
          <cell r="F605">
            <v>8.4005456892879329E-3</v>
          </cell>
          <cell r="G605">
            <v>7.0446118698682288E-3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3.5418897034943195E-4</v>
          </cell>
          <cell r="E606">
            <v>8.3116758821805863E-4</v>
          </cell>
          <cell r="F606">
            <v>8.8424980128671486E-4</v>
          </cell>
          <cell r="G606">
            <v>6.9293854491417047E-4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3.5418897034943195E-4</v>
          </cell>
          <cell r="E607">
            <v>8.3116758821805863E-4</v>
          </cell>
          <cell r="F607">
            <v>8.8424980128671486E-4</v>
          </cell>
          <cell r="G607">
            <v>6.9293854491417047E-4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5.4498521666002299E-5</v>
          </cell>
          <cell r="E608">
            <v>3.9140148028695497E-5</v>
          </cell>
          <cell r="F608">
            <v>1.1848757720469399E-5</v>
          </cell>
          <cell r="G608">
            <v>3.8215556207152702E-5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5.4498521666002299E-5</v>
          </cell>
          <cell r="E609">
            <v>9.3638669694697796E-5</v>
          </cell>
          <cell r="F609">
            <v>1.05487427415167E-4</v>
          </cell>
          <cell r="G609">
            <v>9.7768622743560606E-5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9.9099053019579365E-7</v>
          </cell>
          <cell r="E610">
            <v>2.6508875589286952E-5</v>
          </cell>
          <cell r="F610">
            <v>4.7630476968410294E-5</v>
          </cell>
          <cell r="G610">
            <v>1.320935206939604E-4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9.9099053019579365E-7</v>
          </cell>
          <cell r="E611">
            <v>2.6508875589286952E-5</v>
          </cell>
          <cell r="F611">
            <v>4.7630476968410294E-5</v>
          </cell>
          <cell r="G611">
            <v>1.320935206939604E-4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4.42943330105241E-6</v>
          </cell>
          <cell r="E612">
            <v>3.8795357122733102E-6</v>
          </cell>
          <cell r="F612">
            <v>4.1358100835631004E-6</v>
          </cell>
          <cell r="G612">
            <v>2.2661666634842301E-5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4.42943330105241E-6</v>
          </cell>
          <cell r="E613">
            <v>8.3089690133257203E-6</v>
          </cell>
          <cell r="F613">
            <v>1.24447790968888E-5</v>
          </cell>
          <cell r="G613">
            <v>2.7546099728243401E-5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2.5538869309411267E-3</v>
          </cell>
          <cell r="E614">
            <v>1.7494879996579247E-3</v>
          </cell>
          <cell r="F614">
            <v>1.6937752901820299E-3</v>
          </cell>
          <cell r="G614">
            <v>2.4015634290214401E-3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2.5538869309411267E-3</v>
          </cell>
          <cell r="E615">
            <v>1.7494879996579247E-3</v>
          </cell>
          <cell r="F615">
            <v>1.6937752901820299E-3</v>
          </cell>
          <cell r="G615">
            <v>2.4015634290214401E-3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4.90020783029887E-4</v>
          </cell>
          <cell r="E616">
            <v>2.9313444621777102E-7</v>
          </cell>
          <cell r="F616">
            <v>3.0231214766288303E-7</v>
          </cell>
          <cell r="G616">
            <v>8.1679474301866398E-4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4.90020783029887E-4</v>
          </cell>
          <cell r="E617">
            <v>4.90313917476105E-4</v>
          </cell>
          <cell r="F617">
            <v>4.9061622962376795E-4</v>
          </cell>
          <cell r="G617">
            <v>1.3074109726424301E-3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153.34274042390001</v>
          </cell>
          <cell r="F618">
            <v>329.79494970087103</v>
          </cell>
          <cell r="G618">
            <v>818.39031254968609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0.34197073763963454</v>
          </cell>
          <cell r="F619">
            <v>0.73547806637121538</v>
          </cell>
          <cell r="G619">
            <v>1.8250980651975321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2.0919882731773516</v>
          </cell>
          <cell r="F620">
            <v>4.4992489727267619</v>
          </cell>
          <cell r="G620">
            <v>11.164942872437734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6.4332558358561201E-3</v>
          </cell>
          <cell r="F621">
            <v>7.4029350501018699E-3</v>
          </cell>
          <cell r="G621">
            <v>2.69647905886077E-2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6.4332558358561201E-3</v>
          </cell>
          <cell r="F622">
            <v>1.3836190885958E-2</v>
          </cell>
          <cell r="G622">
            <v>3.4334376477480298E-2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80.734414829308605</v>
          </cell>
          <cell r="E623">
            <v>102.29881909652801</v>
          </cell>
          <cell r="F623">
            <v>134.56768699655299</v>
          </cell>
          <cell r="G623">
            <v>187.22817471910699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1.0926913930450199</v>
          </cell>
          <cell r="E624">
            <v>1.38455254034822</v>
          </cell>
          <cell r="F624">
            <v>1.82129211779127</v>
          </cell>
          <cell r="G624">
            <v>2.5340199155915402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1.1089892146883054</v>
          </cell>
          <cell r="E625">
            <v>1.4052035590182419</v>
          </cell>
          <cell r="F625">
            <v>1.8484572389636504</v>
          </cell>
          <cell r="G625">
            <v>2.5718155868009052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1.3871771594006989E-7</v>
          </cell>
          <cell r="E626">
            <v>3.7302369468714878E-4</v>
          </cell>
          <cell r="F626">
            <v>8.162563980251556E-4</v>
          </cell>
          <cell r="G626">
            <v>0.10983276372356061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3.6630631261930826E-7</v>
          </cell>
          <cell r="E627">
            <v>9.5057828538310646E-4</v>
          </cell>
          <cell r="F627">
            <v>2.023441791174271E-3</v>
          </cell>
          <cell r="G627">
            <v>0.24553075850686898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7.0601110792603301E-6</v>
          </cell>
          <cell r="F628">
            <v>8.4639071851481203E-6</v>
          </cell>
          <cell r="G628">
            <v>2.5516864338657398E-3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7.101601937206884E-6</v>
          </cell>
          <cell r="F629">
            <v>1.5565509122354956E-5</v>
          </cell>
          <cell r="G629">
            <v>2.5529858152837223E-3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4.0395981701595479E-4</v>
          </cell>
          <cell r="E634">
            <v>6.3040913327459943E-4</v>
          </cell>
          <cell r="F634">
            <v>8.4994376226906648E-4</v>
          </cell>
          <cell r="G634">
            <v>3.9620259407942546E-2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1.4679801662237592E-3</v>
          </cell>
          <cell r="E635">
            <v>2.274246406421316E-3</v>
          </cell>
          <cell r="F635">
            <v>3.0064512025952017E-3</v>
          </cell>
          <cell r="G635">
            <v>0.1222392240955199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1.0152188358074499E-6</v>
          </cell>
          <cell r="F636">
            <v>4.1716248215360001E-6</v>
          </cell>
          <cell r="G636">
            <v>7.4181293167870305E-4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7.8200584258769274E-6</v>
          </cell>
          <cell r="E637">
            <v>1.1885823617804649E-5</v>
          </cell>
          <cell r="F637">
            <v>1.6057448439340649E-5</v>
          </cell>
          <cell r="G637">
            <v>7.4722772860341972E-4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381.05936924267723</v>
          </cell>
          <cell r="E638">
            <v>352.17856395852704</v>
          </cell>
          <cell r="F638">
            <v>318.26411446415563</v>
          </cell>
          <cell r="G638">
            <v>32.202569347137981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0.61709531429400066</v>
          </cell>
          <cell r="E639">
            <v>0.57032514919005084</v>
          </cell>
          <cell r="F639">
            <v>0.51540339799041424</v>
          </cell>
          <cell r="G639">
            <v>5.2149497575247707E-2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5.198627138372145</v>
          </cell>
          <cell r="E640">
            <v>4.8046188807438899</v>
          </cell>
          <cell r="F640">
            <v>4.3419388057865804</v>
          </cell>
          <cell r="G640">
            <v>0.43932563911511552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3.1011678537834898E-7</v>
          </cell>
          <cell r="F641">
            <v>7.2667004273617595E-7</v>
          </cell>
          <cell r="G641">
            <v>7.8449196271040296E-7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1.1609616998070232E-2</v>
          </cell>
          <cell r="E642">
            <v>1.0729235724586879E-2</v>
          </cell>
          <cell r="F642">
            <v>9.6966868444705243E-3</v>
          </cell>
          <cell r="G642">
            <v>9.812998646704272E-4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5.8896129810498029E-6</v>
          </cell>
          <cell r="E643">
            <v>9.5670626652553448E-4</v>
          </cell>
          <cell r="F643">
            <v>2.0305247753857223E-3</v>
          </cell>
          <cell r="G643">
            <v>0.2455923078231308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5.8896129810498029E-6</v>
          </cell>
          <cell r="E644">
            <v>9.5670626652553448E-4</v>
          </cell>
          <cell r="F644">
            <v>2.0305247753857223E-3</v>
          </cell>
          <cell r="G644">
            <v>0.2455923078231308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6.0662469040802599E-5</v>
          </cell>
          <cell r="E645">
            <v>6.8727373429867996E-5</v>
          </cell>
          <cell r="F645">
            <v>1.5344194435279901E-4</v>
          </cell>
          <cell r="G645">
            <v>2.5701518579682701E-2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6.0662469040802599E-5</v>
          </cell>
          <cell r="E646">
            <v>1.2938984247067099E-4</v>
          </cell>
          <cell r="F646">
            <v>2.8283178682346997E-4</v>
          </cell>
          <cell r="G646">
            <v>2.59589683664763E-2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1.24446458947547E-3</v>
          </cell>
          <cell r="E647">
            <v>2.7541457226805198E-2</v>
          </cell>
          <cell r="F647">
            <v>3.1089788133265669E-2</v>
          </cell>
          <cell r="G647">
            <v>3.447732736412501E-2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1.2366645228201394E-5</v>
          </cell>
          <cell r="E648">
            <v>2.7368832626659188E-4</v>
          </cell>
          <cell r="F648">
            <v>3.0894923271870258E-4</v>
          </cell>
          <cell r="G648">
            <v>3.4261230053030469E-4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1.6977688805940945E-5</v>
          </cell>
          <cell r="E649">
            <v>3.7573611496323614E-4</v>
          </cell>
          <cell r="F649">
            <v>4.2414444929421121E-4</v>
          </cell>
          <cell r="G649">
            <v>4.7035917277114467E-4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1.0359709852208185E-3</v>
          </cell>
          <cell r="E650">
            <v>2.107864430161293E-3</v>
          </cell>
          <cell r="F650">
            <v>2.1270489264796615E-3</v>
          </cell>
          <cell r="G650">
            <v>9.0740214424851307E-2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5.6619592285208032E-3</v>
          </cell>
          <cell r="E651">
            <v>1.1450008509257238E-2</v>
          </cell>
          <cell r="F651">
            <v>1.1536732170595459E-2</v>
          </cell>
          <cell r="G651">
            <v>0.42076221892352694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3.9033398030284902E-7</v>
          </cell>
          <cell r="F652">
            <v>7.6143143217463301E-7</v>
          </cell>
          <cell r="G652">
            <v>1.6940844281729301E-3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2.6377068004953629E-5</v>
          </cell>
          <cell r="E653">
            <v>3.9690668926246068E-5</v>
          </cell>
          <cell r="F653">
            <v>4.0094585634611219E-5</v>
          </cell>
          <cell r="G653">
            <v>1.7111135631963704E-3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1.4636251380181935E-3</v>
          </cell>
          <cell r="E654">
            <v>2.2748662713192795E-3</v>
          </cell>
          <cell r="F654">
            <v>3.0077821642316778E-3</v>
          </cell>
          <cell r="G654">
            <v>0.12228331051199989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1.4636251380181935E-3</v>
          </cell>
          <cell r="E655">
            <v>2.2748662713192795E-3</v>
          </cell>
          <cell r="F655">
            <v>3.0077821642316778E-3</v>
          </cell>
          <cell r="G655">
            <v>0.12228331051199989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1.6208160255520599E-4</v>
          </cell>
          <cell r="E656">
            <v>8.5057452561818596E-5</v>
          </cell>
          <cell r="F656">
            <v>1.1531965347235E-4</v>
          </cell>
          <cell r="G656">
            <v>1.26178069049334E-2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1.6208160255520599E-4</v>
          </cell>
          <cell r="E657">
            <v>2.4713905511702402E-4</v>
          </cell>
          <cell r="F657">
            <v>3.6245870858937399E-4</v>
          </cell>
          <cell r="G657">
            <v>1.29255088701278E-2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4.23494960615745E-4</v>
          </cell>
          <cell r="E658">
            <v>2.0457846321739699E-2</v>
          </cell>
          <cell r="F658">
            <v>6.43280042603252E-2</v>
          </cell>
          <cell r="G658">
            <v>9.2914902191809257E-2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3.4406744526824595E-6</v>
          </cell>
          <cell r="E659">
            <v>1.6620927222787041E-4</v>
          </cell>
          <cell r="F659">
            <v>5.2263129773431546E-4</v>
          </cell>
          <cell r="G659">
            <v>7.5488485100278521E-4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5.777557443598158E-6</v>
          </cell>
          <cell r="E660">
            <v>2.790974941574313E-4</v>
          </cell>
          <cell r="F660">
            <v>8.7759896671657902E-4</v>
          </cell>
          <cell r="G660">
            <v>1.2675975742402362E-3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9.6706513972493786E-6</v>
          </cell>
          <cell r="E661">
            <v>8.401996551761254E-6</v>
          </cell>
          <cell r="F661">
            <v>1.1246556460085396E-5</v>
          </cell>
          <cell r="G661">
            <v>1.9713306901173698E-6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7.9276012670841865E-5</v>
          </cell>
          <cell r="E662">
            <v>6.7525150068892292E-5</v>
          </cell>
          <cell r="F662">
            <v>8.7910512204545098E-5</v>
          </cell>
          <cell r="G662">
            <v>1.3668626303285826E-5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7.1588184906343899E-8</v>
          </cell>
          <cell r="F663">
            <v>7.4427526839172903E-8</v>
          </cell>
          <cell r="G663">
            <v>7.7347739645518401E-8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2.7795086897221001E-7</v>
          </cell>
          <cell r="E664">
            <v>2.0084412177570887E-7</v>
          </cell>
          <cell r="F664">
            <v>2.5328473248036405E-7</v>
          </cell>
          <cell r="G664">
            <v>1.1688953045297879E-7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2.9713152671641083</v>
          </cell>
          <cell r="E665">
            <v>2.9709411541170097</v>
          </cell>
          <cell r="F665">
            <v>4.4328121888229681</v>
          </cell>
          <cell r="G665">
            <v>3.184639869045085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3.9081036054261899E-4</v>
          </cell>
          <cell r="E666">
            <v>1.2177234380080199E-5</v>
          </cell>
          <cell r="F666">
            <v>4.9472060891920101E-4</v>
          </cell>
          <cell r="G666">
            <v>1.6472102665924599E-2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3.0160298940759662</v>
          </cell>
          <cell r="E667">
            <v>3.0152649583997069</v>
          </cell>
          <cell r="F667">
            <v>4.4994310189103395</v>
          </cell>
          <cell r="G667">
            <v>3.2488571592449906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5.6444627614333871E-3</v>
          </cell>
          <cell r="E668">
            <v>1.1444303420283373E-2</v>
          </cell>
          <cell r="F668">
            <v>1.1530575279594772E-2</v>
          </cell>
          <cell r="G668">
            <v>0.42081346152433574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5.6444627614333871E-3</v>
          </cell>
          <cell r="E669">
            <v>1.1444303420283373E-2</v>
          </cell>
          <cell r="F669">
            <v>1.1530575279594772E-2</v>
          </cell>
          <cell r="G669">
            <v>0.42081346152433574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5.9752932839295895E-4</v>
          </cell>
          <cell r="E670">
            <v>6.1264753031804796E-4</v>
          </cell>
          <cell r="F670">
            <v>5.8120277622066198E-5</v>
          </cell>
          <cell r="G670">
            <v>4.3789752780732299E-2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5.9752932839295895E-4</v>
          </cell>
          <cell r="E671">
            <v>1.2101768587110099E-3</v>
          </cell>
          <cell r="F671">
            <v>1.2682971363330701E-3</v>
          </cell>
          <cell r="G671">
            <v>4.4479637948769898E-2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7.0608859312940196E-3</v>
          </cell>
          <cell r="E672">
            <v>10.19913176921318</v>
          </cell>
          <cell r="F672">
            <v>106.7955276701642</v>
          </cell>
          <cell r="G672">
            <v>338.2668380454179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5.332586460191845E-5</v>
          </cell>
          <cell r="E673">
            <v>7.7026810102073379E-2</v>
          </cell>
          <cell r="F673">
            <v>0.8065508923447382</v>
          </cell>
          <cell r="G673">
            <v>2.5546895645180401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9.6328593878499644E-5</v>
          </cell>
          <cell r="E674">
            <v>0.13914231608749211</v>
          </cell>
          <cell r="F674">
            <v>1.4569649068235202</v>
          </cell>
          <cell r="G674">
            <v>4.6148272584640999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9.0474089483477934E-5</v>
          </cell>
          <cell r="E675">
            <v>1.0424621219399422E-4</v>
          </cell>
          <cell r="F675">
            <v>1.2490782830479466E-4</v>
          </cell>
          <cell r="G675">
            <v>8.3881121822228946E-5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9.0474089483477934E-5</v>
          </cell>
          <cell r="E676">
            <v>1.0424621219399422E-4</v>
          </cell>
          <cell r="F676">
            <v>1.2490782830479466E-4</v>
          </cell>
          <cell r="G676">
            <v>8.3881121822228946E-5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2.51449219144062E-5</v>
          </cell>
          <cell r="E677">
            <v>1.9061882873374901E-5</v>
          </cell>
          <cell r="F677">
            <v>1.3586245959178101E-5</v>
          </cell>
          <cell r="G677">
            <v>1.66429344891469E-5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2.51449219144062E-5</v>
          </cell>
          <cell r="E678">
            <v>4.4206804787781098E-5</v>
          </cell>
          <cell r="F678">
            <v>5.77930507469592E-5</v>
          </cell>
          <cell r="G678">
            <v>3.6234000981115002E-5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6.4203746166894931E-6</v>
          </cell>
          <cell r="F679">
            <v>8.4892245560427748E-6</v>
          </cell>
          <cell r="G679">
            <v>1.6524142332366539E-6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5.8549628154083497E-6</v>
          </cell>
          <cell r="F680">
            <v>7.741618998068781E-6</v>
          </cell>
          <cell r="G680">
            <v>1.5068939849869208E-6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7.8442126539215298E-7</v>
          </cell>
          <cell r="F681">
            <v>4.4699859529681401E-7</v>
          </cell>
          <cell r="G681">
            <v>1.6284337777524901E-7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7.7397814670271595E-7</v>
          </cell>
          <cell r="F682">
            <v>1.1707242929083199E-6</v>
          </cell>
          <cell r="G682">
            <v>4.0323175326443903E-7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8.3209627598675198</v>
          </cell>
          <cell r="E683">
            <v>22.55467058287914</v>
          </cell>
          <cell r="F683">
            <v>27.5987073253403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1.4067213886556389E-2</v>
          </cell>
          <cell r="E684">
            <v>3.8978808600841117E-2</v>
          </cell>
          <cell r="F684">
            <v>4.829750220295094E-2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0.11351927366804251</v>
          </cell>
          <cell r="E685">
            <v>0.30770355501881519</v>
          </cell>
          <cell r="F685">
            <v>0.37651715314243267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4.8837217163735401E-4</v>
          </cell>
          <cell r="F686">
            <v>2.0277800742680399E-4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8.4768556901466485E-4</v>
          </cell>
          <cell r="F687">
            <v>1.0505011406026191E-3</v>
          </cell>
          <cell r="G687">
            <v>-9.5280462903205021E-10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0.431242835782434</v>
          </cell>
          <cell r="E688">
            <v>1.1293938655738209</v>
          </cell>
          <cell r="F688">
            <v>1.253023164614403</v>
          </cell>
          <cell r="G688">
            <v>0.87586523651587345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3.1004681573351461E-3</v>
          </cell>
          <cell r="E689">
            <v>8.1199023537353275E-3</v>
          </cell>
          <cell r="F689">
            <v>9.0087488995417644E-3</v>
          </cell>
          <cell r="G689">
            <v>6.2971301795824485E-3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5.8832583326389421E-3</v>
          </cell>
          <cell r="E690">
            <v>1.5407828998278613E-2</v>
          </cell>
          <cell r="F690">
            <v>1.7094449721888175E-2</v>
          </cell>
          <cell r="G690">
            <v>1.1949048247146982E-2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1.2891377919137469E-5</v>
          </cell>
          <cell r="E691">
            <v>2.2365418969976199E-5</v>
          </cell>
          <cell r="F691">
            <v>2.7316508656266413E-5</v>
          </cell>
          <cell r="G691">
            <v>6.1456110266244802E-6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1.4460400849233071E-5</v>
          </cell>
          <cell r="E692">
            <v>2.508753722802475E-5</v>
          </cell>
          <cell r="F692">
            <v>3.0641229157106756E-5</v>
          </cell>
          <cell r="G692">
            <v>6.8935996963156808E-6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3.7401685092293702E-7</v>
          </cell>
          <cell r="F693">
            <v>3.2842977866207698E-7</v>
          </cell>
          <cell r="G693">
            <v>1.71138081952067E-7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1.2899879104720302E-6</v>
          </cell>
          <cell r="E694">
            <v>1.8058797267872429E-6</v>
          </cell>
          <cell r="F694">
            <v>2.2442052388497987E-6</v>
          </cell>
          <cell r="G694">
            <v>7.2175025532131865E-7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38.091279270627297</v>
          </cell>
          <cell r="E695">
            <v>28.91562055902406</v>
          </cell>
          <cell r="F695">
            <v>29.39735159226543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4.5452742524227041E-2</v>
          </cell>
          <cell r="E696">
            <v>3.4641788620793167E-2</v>
          </cell>
          <cell r="F696">
            <v>3.5218412856590074E-2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0.51966274584757577</v>
          </cell>
          <cell r="E697">
            <v>0.39448322727181573</v>
          </cell>
          <cell r="F697">
            <v>0.401055274110033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2.6544042009511599E-7</v>
          </cell>
          <cell r="F698">
            <v>3.84715289005288E-7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7.6497523261002108E-4</v>
          </cell>
          <cell r="F699">
            <v>7.6540645436017432E-4</v>
          </cell>
          <cell r="G699">
            <v>-2.5799009756863681E-9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G700">
            <v>9.8370603252774559E-3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G701">
            <v>2.1204591981499737E-3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3.38561690068664E-3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3.38561690068664E-3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1.5647808500232462E-3</v>
          </cell>
          <cell r="E704">
            <v>2.1307162447503744E-3</v>
          </cell>
          <cell r="F704">
            <v>2.1494982211914229E-3</v>
          </cell>
          <cell r="G704">
            <v>1.7939258433720244E-3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1.5647808500232462E-3</v>
          </cell>
          <cell r="E705">
            <v>2.1307162447503744E-3</v>
          </cell>
          <cell r="F705">
            <v>2.1494982211914229E-3</v>
          </cell>
          <cell r="G705">
            <v>1.7939258433720244E-3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1.7011531552752301E-4</v>
          </cell>
          <cell r="E706">
            <v>5.5929142133538303E-5</v>
          </cell>
          <cell r="F706">
            <v>2.1846422419592801E-6</v>
          </cell>
          <cell r="G706">
            <v>1.4487540831887E-5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1.7011531552752301E-4</v>
          </cell>
          <cell r="E707">
            <v>2.2604445766106099E-4</v>
          </cell>
          <cell r="F707">
            <v>2.2822909990302001E-4</v>
          </cell>
          <cell r="G707">
            <v>1.8966379405944801E-4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3.3124026219196097E-4</v>
          </cell>
          <cell r="E708">
            <v>1.2567239117936015E-3</v>
          </cell>
          <cell r="F708">
            <v>1.1791125480666495E-3</v>
          </cell>
          <cell r="G708">
            <v>1.7643110596870627E-5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3.9908221424280263E-4</v>
          </cell>
          <cell r="E709">
            <v>1.5141159413761605E-3</v>
          </cell>
          <cell r="F709">
            <v>1.4206088457061126E-3</v>
          </cell>
          <cell r="G709">
            <v>2.1256629844862746E-5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3.4213048855635202E-7</v>
          </cell>
          <cell r="F710">
            <v>2.5914254864433299E-7</v>
          </cell>
          <cell r="G710">
            <v>1.5931161361487799E-7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3.2117189885621703E-5</v>
          </cell>
          <cell r="E711">
            <v>8.6998269507163652E-5</v>
          </cell>
          <cell r="F711">
            <v>8.2193826842482588E-5</v>
          </cell>
          <cell r="G711">
            <v>1.3720600312928027E-6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11.303542788914552</v>
          </cell>
          <cell r="E712">
            <v>9.2949088291296409</v>
          </cell>
          <cell r="F712">
            <v>11.135932551061357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8.9363570149161315E-3</v>
          </cell>
          <cell r="E713">
            <v>7.3777366332127168E-3</v>
          </cell>
          <cell r="F713">
            <v>8.833905145203793E-3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0.1542093149920131</v>
          </cell>
          <cell r="E714">
            <v>0.12680639603178218</v>
          </cell>
          <cell r="F714">
            <v>0.15192268146059132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1.13588232456042E-7</v>
          </cell>
          <cell r="F715">
            <v>1.2076127645651399E-7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1.944145133939648E-4</v>
          </cell>
          <cell r="E716">
            <v>1.9188004626563695E-4</v>
          </cell>
          <cell r="F716">
            <v>1.9204307620599703E-4</v>
          </cell>
          <cell r="G716">
            <v>-2.8814450386805378E-9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G717">
            <v>1.5896960741155905E-4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G718">
            <v>5.8858299581390651E-5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5.48495231906999E-5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5.48495231906999E-5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3.608451138846729E-4</v>
          </cell>
          <cell r="E721">
            <v>4.3851014634761607E-4</v>
          </cell>
          <cell r="F721">
            <v>4.4775742694991516E-4</v>
          </cell>
          <cell r="G721">
            <v>8.6110198675675787E-4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3.608451138846729E-4</v>
          </cell>
          <cell r="E722">
            <v>4.3851014634761607E-4</v>
          </cell>
          <cell r="F722">
            <v>4.4775742694991516E-4</v>
          </cell>
          <cell r="G722">
            <v>8.6110198675675787E-4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5.1940744889726399E-5</v>
          </cell>
          <cell r="E723">
            <v>3.5956298442621798E-7</v>
          </cell>
          <cell r="F723">
            <v>2.7436717727948301E-6</v>
          </cell>
          <cell r="G723">
            <v>3.6043559623689898E-5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5.1940744889726399E-5</v>
          </cell>
          <cell r="E724">
            <v>5.2300307874152602E-5</v>
          </cell>
          <cell r="F724">
            <v>5.50439796469474E-5</v>
          </cell>
          <cell r="G724">
            <v>9.1087539270637304E-5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4.4490081632791992E-6</v>
          </cell>
          <cell r="F725">
            <v>7.704248554031638E-6</v>
          </cell>
          <cell r="G725">
            <v>4.3980802425809083E-6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5.3169921293364752E-6</v>
          </cell>
          <cell r="F726">
            <v>9.2073170965021441E-6</v>
          </cell>
          <cell r="G726">
            <v>5.2561283719374131E-6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3.9544992673156601E-7</v>
          </cell>
          <cell r="F727">
            <v>3.1487724906241801E-7</v>
          </cell>
          <cell r="G727">
            <v>1.6102370325341101E-7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3.9018524217648501E-7</v>
          </cell>
          <cell r="F728">
            <v>6.7853679374323605E-7</v>
          </cell>
          <cell r="G728">
            <v>5.2620491148647502E-7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0.91917321630004423</v>
          </cell>
          <cell r="F729">
            <v>1.2662791913329609E-3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4.8462224551213502E-4</v>
          </cell>
          <cell r="F730">
            <v>6.7136448103432098E-7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1.2539880167804156E-2</v>
          </cell>
          <cell r="F731">
            <v>1.727529592541557E-5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D732">
            <v>1.0717708677914802E-5</v>
          </cell>
          <cell r="E732">
            <v>4.6535919780300156E-8</v>
          </cell>
          <cell r="F732">
            <v>6.1708380493801667E-8</v>
          </cell>
          <cell r="G732">
            <v>-9.6746777296299772E-9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D733">
            <v>1.0232390664775772E-2</v>
          </cell>
          <cell r="E733">
            <v>2.4764707508120848E-2</v>
          </cell>
          <cell r="F733">
            <v>2.3703339952059994E-2</v>
          </cell>
          <cell r="G733">
            <v>6.2813693268329055E-3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D734">
            <v>1.0232390664775772E-2</v>
          </cell>
          <cell r="E734">
            <v>2.4764707508120848E-2</v>
          </cell>
          <cell r="F734">
            <v>2.3703339952059994E-2</v>
          </cell>
          <cell r="G734">
            <v>6.2813693268329055E-3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D735">
            <v>1.35179866068797E-3</v>
          </cell>
          <cell r="E735">
            <v>1.79267820265183E-3</v>
          </cell>
          <cell r="F735">
            <v>2.6829268986850101E-5</v>
          </cell>
          <cell r="G735">
            <v>3.75159686202148E-5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D736">
            <v>1.35179866068797E-3</v>
          </cell>
          <cell r="E736">
            <v>3.1444768633398E-3</v>
          </cell>
          <cell r="F736">
            <v>3.1713061323266501E-3</v>
          </cell>
          <cell r="G736">
            <v>8.0904251765363398E-4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G737">
            <v>3.9939527050705452E-5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G738">
            <v>2.268455415878167E-5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G739">
            <v>1.3901361411343901E-5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G740">
            <v>1.3901361411343901E-5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D741">
            <v>7.8573946970924766E-5</v>
          </cell>
          <cell r="E741">
            <v>1.3251820405627102E-4</v>
          </cell>
          <cell r="F741">
            <v>1.3919561547347676E-4</v>
          </cell>
          <cell r="G741">
            <v>7.6062897499875888E-4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D742">
            <v>7.8573946970924766E-5</v>
          </cell>
          <cell r="E742">
            <v>1.3251820405627102E-4</v>
          </cell>
          <cell r="F742">
            <v>1.3919561547347676E-4</v>
          </cell>
          <cell r="G742">
            <v>7.6062897499875888E-4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D743">
            <v>4.0341129688280702E-5</v>
          </cell>
          <cell r="E743">
            <v>2.6396838528057799E-7</v>
          </cell>
          <cell r="F743">
            <v>1.24381253264895E-6</v>
          </cell>
          <cell r="G743">
            <v>3.86549770342974E-5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D744">
            <v>4.0341129688280702E-5</v>
          </cell>
          <cell r="E744">
            <v>4.0605098073561298E-5</v>
          </cell>
          <cell r="F744">
            <v>4.1848910606210299E-5</v>
          </cell>
          <cell r="G744">
            <v>8.0503887640507698E-5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G745">
            <v>1.3176267612446265E-5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G746">
            <v>8.4352882581774254E-6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G747">
            <v>4.64707544015912E-6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G748">
            <v>4.64707544015912E-6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D749">
            <v>2.2079830310913801E-5</v>
          </cell>
          <cell r="E749">
            <v>4.7191306034798749E-5</v>
          </cell>
          <cell r="F749">
            <v>5.7584394716942802E-5</v>
          </cell>
          <cell r="G749">
            <v>7.4242626461734358E-4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D750">
            <v>2.2079830310913801E-5</v>
          </cell>
          <cell r="E750">
            <v>4.7191306034798749E-5</v>
          </cell>
          <cell r="F750">
            <v>5.7584394716942802E-5</v>
          </cell>
          <cell r="G750">
            <v>7.4242626461734358E-4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D751">
            <v>4.1985863665132797E-5</v>
          </cell>
          <cell r="E751">
            <v>2.6998672730625502E-7</v>
          </cell>
          <cell r="F751">
            <v>6.8945344758267495E-7</v>
          </cell>
          <cell r="G751">
            <v>3.5635825182010897E-5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D752">
            <v>4.1985863665132797E-5</v>
          </cell>
          <cell r="E752">
            <v>4.2255850392439099E-5</v>
          </cell>
          <cell r="F752">
            <v>4.2945303840021803E-5</v>
          </cell>
          <cell r="G752">
            <v>7.8581129022032694E-5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E753">
            <v>3.1483625821722501E-3</v>
          </cell>
          <cell r="F753">
            <v>1.9679800203094878E-2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E754">
            <v>6.7119026267604095E-6</v>
          </cell>
          <cell r="F754">
            <v>4.3801010248246218E-5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E755">
            <v>5.5822031598798761E-5</v>
          </cell>
          <cell r="F755">
            <v>3.4893262771444855E-4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E756">
            <v>1.72325609787325E-7</v>
          </cell>
          <cell r="F756">
            <v>7.0113339067213795E-7</v>
          </cell>
          <cell r="G756">
            <v>1.05482540284045E-8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E757">
            <v>1.72325609787325E-7</v>
          </cell>
          <cell r="F757">
            <v>8.7345900045946298E-7</v>
          </cell>
          <cell r="G757">
            <v>2.4443673482875016E-8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E758">
            <v>1.64221800001333E-3</v>
          </cell>
          <cell r="F758">
            <v>1.0803042627409354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E759">
            <v>2.4749179212293925E-6</v>
          </cell>
          <cell r="F759">
            <v>1.7126554728049922E-3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E760">
            <v>2.9117340425768286E-5</v>
          </cell>
          <cell r="F760">
            <v>1.9154330899662019E-2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E761">
            <v>7.7311389224089996E-8</v>
          </cell>
          <cell r="F761">
            <v>3.2237443144942098E-5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E762">
            <v>7.7311389224089996E-8</v>
          </cell>
          <cell r="F762">
            <v>3.2314754534166202E-5</v>
          </cell>
          <cell r="G762">
            <v>9.6225926898995296E-9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  <cell r="D763">
            <v>0.44188211992259602</v>
          </cell>
          <cell r="E763">
            <v>0.44077338426422502</v>
          </cell>
          <cell r="F763">
            <v>0.43756334585825601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  <cell r="D764">
            <v>5.9984138941911694E-2</v>
          </cell>
          <cell r="E764">
            <v>4.7984326351336815E-2</v>
          </cell>
          <cell r="F764">
            <v>2.9990354358693731E-2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  <cell r="D765">
            <v>6.0284054559699256E-3</v>
          </cell>
          <cell r="E765">
            <v>6.0132794579021058E-3</v>
          </cell>
          <cell r="F765">
            <v>5.9694863009311832E-3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  <cell r="D766">
            <v>1.30332047521267E-3</v>
          </cell>
          <cell r="E766">
            <v>1.04265638017014E-3</v>
          </cell>
          <cell r="F766">
            <v>6.5166023760633498E-4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E767">
            <v>6.70880156856787E-4</v>
          </cell>
          <cell r="F767">
            <v>7.4365280824607001E-3</v>
          </cell>
          <cell r="G767">
            <v>3.8319410002057902E-5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E768">
            <v>6.7114343522463391E-7</v>
          </cell>
          <cell r="F768">
            <v>7.7567560625122881E-6</v>
          </cell>
          <cell r="G768">
            <v>4.03282076970115E-8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E769">
            <v>1.1895038242141623E-5</v>
          </cell>
          <cell r="F769">
            <v>1.3185333479540242E-4</v>
          </cell>
          <cell r="G769">
            <v>6.7942216315705499E-7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E770">
            <v>3.1911862628051998E-8</v>
          </cell>
          <cell r="F770">
            <v>1.2471756525059899E-7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E771">
            <v>3.1911862628051998E-8</v>
          </cell>
          <cell r="F771">
            <v>1.56629427878651E-7</v>
          </cell>
          <cell r="G771">
            <v>1.3110621570967988E-8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18.873044481613956</v>
          </cell>
          <cell r="C9">
            <v>21.777499389657525</v>
          </cell>
          <cell r="D9">
            <v>30.279618665040868</v>
          </cell>
          <cell r="E9">
            <v>45.898068735404799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82.760000148976332</v>
          </cell>
          <cell r="C14">
            <v>82.759995330706502</v>
          </cell>
          <cell r="D14">
            <v>76.101924503147643</v>
          </cell>
          <cell r="E14">
            <v>69.934413130818442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7">
          <cell r="B17">
            <v>12.841920623724477</v>
          </cell>
          <cell r="C17">
            <v>16.033523236884484</v>
          </cell>
          <cell r="D17">
            <v>2.3808806286884696</v>
          </cell>
          <cell r="E17">
            <v>12.619333149979209</v>
          </cell>
        </row>
        <row r="18">
          <cell r="B18">
            <v>3.960103094555574E-2</v>
          </cell>
          <cell r="C18">
            <v>4.0467292091570133E-5</v>
          </cell>
          <cell r="D18">
            <v>3.9569265600404883E-3</v>
          </cell>
          <cell r="E18">
            <v>2.3315827825481447E-4</v>
          </cell>
        </row>
        <row r="19">
          <cell r="B19">
            <v>6.5070001520524157</v>
          </cell>
          <cell r="C19">
            <v>7.3027684791455458</v>
          </cell>
          <cell r="D19">
            <v>8.1988180793970962</v>
          </cell>
          <cell r="E19">
            <v>7.3981388411421944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0.96588145389344926</v>
          </cell>
          <cell r="C24">
            <v>1.709298336433726E-4</v>
          </cell>
          <cell r="D24">
            <v>7.4197658419084378E-2</v>
          </cell>
          <cell r="E24">
            <v>8.2432140627669778E-3</v>
          </cell>
        </row>
        <row r="25">
          <cell r="B25">
            <v>0.35678446084797527</v>
          </cell>
          <cell r="C25">
            <v>7.0788979913009337E-2</v>
          </cell>
          <cell r="D25">
            <v>1.5026042914924159E-2</v>
          </cell>
          <cell r="E25">
            <v>1.0672528061508546</v>
          </cell>
        </row>
        <row r="26">
          <cell r="B26">
            <v>1.5475485809514915</v>
          </cell>
          <cell r="C26">
            <v>1.4243000803949111</v>
          </cell>
          <cell r="D26">
            <v>1.3364046724518277</v>
          </cell>
          <cell r="E26">
            <v>1.4145516217731176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1.8009909297917062E-3</v>
          </cell>
          <cell r="C28">
            <v>4.2907107324721099E-5</v>
          </cell>
          <cell r="D28">
            <v>4.742982662441835E-4</v>
          </cell>
          <cell r="E28">
            <v>1.2521024452642618E-4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0.66996706142721818</v>
          </cell>
          <cell r="C39">
            <v>0.16578928313456487</v>
          </cell>
          <cell r="D39">
            <v>0.95518478301099263</v>
          </cell>
          <cell r="E39">
            <v>1.4159657289009404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7.0502718642756743E-2</v>
          </cell>
          <cell r="C41">
            <v>0.17144535464502705</v>
          </cell>
          <cell r="D41">
            <v>9.7566647758342648E-3</v>
          </cell>
          <cell r="E41">
            <v>0.17117233291840359</v>
          </cell>
        </row>
        <row r="42">
          <cell r="B42">
            <v>0.17246474365950104</v>
          </cell>
          <cell r="C42">
            <v>0.4584570069089392</v>
          </cell>
          <cell r="D42">
            <v>1.2561389768441567</v>
          </cell>
          <cell r="E42">
            <v>1.604031072193671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0.23004508076834598</v>
          </cell>
          <cell r="C44">
            <v>0.23015798149413452</v>
          </cell>
          <cell r="D44">
            <v>2.958919532228629E-4</v>
          </cell>
          <cell r="E44">
            <v>2.6392534957786484E-4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3.1198220526869157E-4</v>
          </cell>
        </row>
        <row r="48">
          <cell r="B48">
            <v>1.3144636281895751E-2</v>
          </cell>
          <cell r="C48">
            <v>8.5641395012026143E-4</v>
          </cell>
          <cell r="D48">
            <v>1.9970662080508964E-3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2.7688806333293497E-2</v>
          </cell>
          <cell r="C51">
            <v>1.5160623731566888E-3</v>
          </cell>
          <cell r="D51">
            <v>2.5605282946524121E-3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0.9593676447766335</v>
          </cell>
          <cell r="C54">
            <v>1.1059448075564708</v>
          </cell>
          <cell r="D54">
            <v>1.1059444382561738</v>
          </cell>
          <cell r="E54">
            <v>1.1059445509953427</v>
          </cell>
        </row>
        <row r="55">
          <cell r="B55">
            <v>0.59440009100289515</v>
          </cell>
          <cell r="C55">
            <v>0.6258699299833278</v>
          </cell>
          <cell r="D55">
            <v>1.5073805788654335E-2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9.4514589055027284E-2</v>
          </cell>
          <cell r="C70">
            <v>4.0065384849682327E-3</v>
          </cell>
          <cell r="D70">
            <v>1.9592865137364069E-2</v>
          </cell>
          <cell r="E70">
            <v>2.1973018464116881E-2</v>
          </cell>
        </row>
        <row r="71">
          <cell r="B71">
            <v>1.3317454006918146E-3</v>
          </cell>
          <cell r="C71">
            <v>9.9708434125425258E-4</v>
          </cell>
          <cell r="D71">
            <v>1.7309873094720901E-2</v>
          </cell>
          <cell r="E71">
            <v>4.3766006679706572E-2</v>
          </cell>
        </row>
        <row r="72">
          <cell r="B72">
            <v>1.196373329620501E-3</v>
          </cell>
          <cell r="C72">
            <v>9.1410815747314776E-4</v>
          </cell>
          <cell r="D72">
            <v>1.6591688888070725E-2</v>
          </cell>
          <cell r="E72">
            <v>3.3233102588472271E-2</v>
          </cell>
        </row>
        <row r="73">
          <cell r="B73">
            <v>3.9501986098739036E-4</v>
          </cell>
          <cell r="C73">
            <v>3.927010851207019E-4</v>
          </cell>
          <cell r="D73">
            <v>0.11085669778146721</v>
          </cell>
          <cell r="E73">
            <v>0.19966215499985171</v>
          </cell>
        </row>
        <row r="74">
          <cell r="B74">
            <v>7.8679156802894746E-4</v>
          </cell>
          <cell r="C74">
            <v>7.8182836716881763E-4</v>
          </cell>
          <cell r="D74">
            <v>0.20015719087856509</v>
          </cell>
          <cell r="E74">
            <v>8.7966392368422491E-2</v>
          </cell>
        </row>
        <row r="75">
          <cell r="B75">
            <v>7.717521283479062E-4</v>
          </cell>
          <cell r="C75">
            <v>7.6683661121047277E-4</v>
          </cell>
          <cell r="D75">
            <v>6.139790945112765E-2</v>
          </cell>
          <cell r="E75">
            <v>3.1806120436836852E-2</v>
          </cell>
        </row>
        <row r="76">
          <cell r="B76">
            <v>3.9691664334334993E-4</v>
          </cell>
          <cell r="C76">
            <v>3.9456757781399236E-4</v>
          </cell>
          <cell r="D76">
            <v>0.19215144118163985</v>
          </cell>
          <cell r="E76">
            <v>9.4047293753573305E-2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1.8035525350352892</v>
          </cell>
          <cell r="C91">
            <v>3.2845107055776769E-4</v>
          </cell>
          <cell r="D91">
            <v>0.1486176336031976</v>
          </cell>
          <cell r="E91">
            <v>1.7630024029392188E-2</v>
          </cell>
        </row>
        <row r="92">
          <cell r="B92">
            <v>1.1846305391341421</v>
          </cell>
          <cell r="C92">
            <v>0.43365821567148233</v>
          </cell>
          <cell r="D92">
            <v>0.50879080717686853</v>
          </cell>
          <cell r="E92">
            <v>2.7910833511593554</v>
          </cell>
        </row>
        <row r="93">
          <cell r="B93">
            <v>14.461262506045051</v>
          </cell>
          <cell r="C93">
            <v>13.051648122990354</v>
          </cell>
          <cell r="D93">
            <v>12.14799542740662</v>
          </cell>
          <cell r="E93">
            <v>12.779635147773988</v>
          </cell>
        </row>
        <row r="94">
          <cell r="B94">
            <v>9.262239067500188E-3</v>
          </cell>
          <cell r="C94">
            <v>2.2066512338427986E-4</v>
          </cell>
          <cell r="D94">
            <v>2.4392482263986548E-3</v>
          </cell>
          <cell r="E94">
            <v>6.4393840042161995E-4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1.7329034351756449</v>
          </cell>
          <cell r="C97">
            <v>1.4657145158969569</v>
          </cell>
          <cell r="D97">
            <v>0.8158321377751796</v>
          </cell>
          <cell r="E97">
            <v>3.032898443710117</v>
          </cell>
        </row>
        <row r="98">
          <cell r="B98">
            <v>0.90177654254630846</v>
          </cell>
          <cell r="C98">
            <v>0.9017747865163952</v>
          </cell>
          <cell r="D98">
            <v>0.90177517777553207</v>
          </cell>
          <cell r="E98">
            <v>0.90177435650507365</v>
          </cell>
        </row>
        <row r="99">
          <cell r="B99">
            <v>2.9000157579919024</v>
          </cell>
          <cell r="C99">
            <v>7.6038350689429333</v>
          </cell>
          <cell r="D99">
            <v>7.6029700964530829</v>
          </cell>
          <cell r="E99">
            <v>2.1392835595942317</v>
          </cell>
        </row>
        <row r="100">
          <cell r="B100">
            <v>0.18406930057918613</v>
          </cell>
          <cell r="C100">
            <v>0.18582287704850181</v>
          </cell>
          <cell r="D100">
            <v>4.1569472738406187E-4</v>
          </cell>
          <cell r="E100">
            <v>2.707221857956106E-4</v>
          </cell>
        </row>
        <row r="101">
          <cell r="B101">
            <v>1.3304362853182492</v>
          </cell>
          <cell r="C101">
            <v>1.2007174356058459</v>
          </cell>
          <cell r="D101">
            <v>1.0294642410766712</v>
          </cell>
          <cell r="E101">
            <v>0.79658032335149787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1.2934234108348537E-5</v>
          </cell>
        </row>
        <row r="104">
          <cell r="B104">
            <v>0.9293540184727046</v>
          </cell>
          <cell r="C104">
            <v>2.0719699777675049</v>
          </cell>
          <cell r="D104">
            <v>0.10186488424774717</v>
          </cell>
          <cell r="E104">
            <v>1.3179018489092584</v>
          </cell>
        </row>
        <row r="105">
          <cell r="B105">
            <v>0.65957904103620457</v>
          </cell>
          <cell r="C105">
            <v>1.5966313296763068</v>
          </cell>
          <cell r="D105">
            <v>3.7306152395417373</v>
          </cell>
          <cell r="E105">
            <v>3.393142652717386</v>
          </cell>
        </row>
        <row r="106">
          <cell r="B106">
            <v>1.9348222656546448</v>
          </cell>
          <cell r="C106">
            <v>1.8587705616024293</v>
          </cell>
          <cell r="D106">
            <v>2.2411526409390576E-3</v>
          </cell>
          <cell r="E106">
            <v>1.7782842889798008E-3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1.5599110263434578E-4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3.1644494752712055E-2</v>
          </cell>
          <cell r="C109">
            <v>2.0408933499162234E-3</v>
          </cell>
          <cell r="D109">
            <v>4.6862373718019792E-3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6.0151544793016945E-2</v>
          </cell>
          <cell r="C112">
            <v>3.2614509627586904E-3</v>
          </cell>
          <cell r="D112">
            <v>5.4271427302747723E-3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1.4243128743059836</v>
          </cell>
          <cell r="C115">
            <v>1.578325399859821</v>
          </cell>
          <cell r="D115">
            <v>1.4829228347016219</v>
          </cell>
          <cell r="E115">
            <v>1.323919743665777</v>
          </cell>
        </row>
        <row r="116">
          <cell r="B116">
            <v>0.69257884120802715</v>
          </cell>
          <cell r="C116">
            <v>0.75020246803404356</v>
          </cell>
          <cell r="D116">
            <v>1.8825368978488858E-2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4.5023057005928955</v>
          </cell>
          <cell r="D123">
            <v>4.638730214684279</v>
          </cell>
          <cell r="E123">
            <v>4.8753521612184842</v>
          </cell>
        </row>
      </sheetData>
      <sheetData sheetId="59">
        <row r="13">
          <cell r="B13">
            <v>16.052401440315233</v>
          </cell>
          <cell r="C13">
            <v>20.041905375183251</v>
          </cell>
          <cell r="D13">
            <v>2.9761011567091971</v>
          </cell>
          <cell r="E13">
            <v>15.77416630619749</v>
          </cell>
        </row>
        <row r="14">
          <cell r="B14">
            <v>250.94817811360252</v>
          </cell>
          <cell r="C14">
            <v>253.30007324334684</v>
          </cell>
          <cell r="D14">
            <v>233.22742609086157</v>
          </cell>
          <cell r="E14">
            <v>211.9022672167373</v>
          </cell>
        </row>
        <row r="15">
          <cell r="B15">
            <v>66.745679999995161</v>
          </cell>
          <cell r="C15">
            <v>49.798799902568817</v>
          </cell>
          <cell r="D15">
            <v>69.098091987387846</v>
          </cell>
          <cell r="E15">
            <v>70.384657838973283</v>
          </cell>
        </row>
        <row r="16">
          <cell r="B16">
            <v>66.632400218261907</v>
          </cell>
          <cell r="C16">
            <v>55.76400049992705</v>
          </cell>
          <cell r="D16">
            <v>65.549520725005422</v>
          </cell>
          <cell r="E16">
            <v>64.46572592756182</v>
          </cell>
        </row>
        <row r="18">
          <cell r="B18">
            <v>0.1150495568555423</v>
          </cell>
          <cell r="C18">
            <v>7.8458380946845867E-4</v>
          </cell>
          <cell r="D18">
            <v>1.2136483573367761E-2</v>
          </cell>
          <cell r="E18">
            <v>8.0039582076863705E-4</v>
          </cell>
        </row>
        <row r="19">
          <cell r="B19">
            <v>18.203590904034439</v>
          </cell>
          <cell r="C19">
            <v>20.42978434837023</v>
          </cell>
          <cell r="D19">
            <v>22.936518630151056</v>
          </cell>
          <cell r="E19">
            <v>20.696586717140612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2.5516561678071752</v>
          </cell>
          <cell r="M22">
            <v>1.0607132052590551</v>
          </cell>
          <cell r="N22">
            <v>1.0183010355776245</v>
          </cell>
          <cell r="O22">
            <v>1.8085386998460753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6.6715090708825711E-2</v>
          </cell>
          <cell r="M23">
            <v>3.211177605668819E-2</v>
          </cell>
          <cell r="N23">
            <v>9.2417319951841617E-2</v>
          </cell>
          <cell r="O23">
            <v>0.27949633666492169</v>
          </cell>
        </row>
        <row r="24">
          <cell r="B24">
            <v>3.6698887751007416</v>
          </cell>
          <cell r="C24">
            <v>7.7468128572949534E-4</v>
          </cell>
          <cell r="D24">
            <v>0.29137867800874645</v>
          </cell>
          <cell r="E24">
            <v>3.3521247665010384E-2</v>
          </cell>
        </row>
        <row r="25">
          <cell r="B25">
            <v>1.4627766602335668</v>
          </cell>
          <cell r="C25">
            <v>0.28300194632154602</v>
          </cell>
          <cell r="D25">
            <v>5.8122718085274631E-2</v>
          </cell>
          <cell r="E25">
            <v>3.8797998513057581</v>
          </cell>
        </row>
        <row r="26">
          <cell r="B26">
            <v>40.31790819125591</v>
          </cell>
          <cell r="C26">
            <v>38.473209041312444</v>
          </cell>
          <cell r="D26">
            <v>36.326159832581681</v>
          </cell>
          <cell r="E26">
            <v>38.239896005150783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1.8256410008228072E-2</v>
          </cell>
          <cell r="C28">
            <v>1.0776708444711011E-3</v>
          </cell>
          <cell r="D28">
            <v>4.8601470652460208E-3</v>
          </cell>
          <cell r="E28">
            <v>1.2416229782616767E-3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0.54529210298713582</v>
          </cell>
          <cell r="D33">
            <v>0.50316470132068525</v>
          </cell>
          <cell r="E33">
            <v>2.0502622389415159</v>
          </cell>
        </row>
        <row r="34">
          <cell r="B34">
            <v>0</v>
          </cell>
          <cell r="C34">
            <v>0</v>
          </cell>
          <cell r="D34">
            <v>0.14080626641931424</v>
          </cell>
          <cell r="E34">
            <v>0.57934225734925171</v>
          </cell>
        </row>
        <row r="35">
          <cell r="B35">
            <v>3.517953999707534</v>
          </cell>
          <cell r="C35">
            <v>4.8486222706482938</v>
          </cell>
          <cell r="D35">
            <v>11.161492733716585</v>
          </cell>
          <cell r="E35">
            <v>19.477109007315924</v>
          </cell>
        </row>
        <row r="36">
          <cell r="B36">
            <v>2.1349390887346629</v>
          </cell>
          <cell r="C36">
            <v>3.3906769249173712</v>
          </cell>
          <cell r="D36">
            <v>4.0409717607174107</v>
          </cell>
          <cell r="E36">
            <v>4.3446264915594917</v>
          </cell>
        </row>
        <row r="37">
          <cell r="B37">
            <v>0.86248322578584768</v>
          </cell>
          <cell r="C37">
            <v>1.2875959332939062</v>
          </cell>
          <cell r="D37">
            <v>3.4901269439935434</v>
          </cell>
          <cell r="E37">
            <v>3.822219782981545</v>
          </cell>
        </row>
        <row r="38">
          <cell r="B38">
            <v>2.8396236857719668</v>
          </cell>
          <cell r="C38">
            <v>3.2944550867381746</v>
          </cell>
          <cell r="D38">
            <v>9.966605559919822</v>
          </cell>
          <cell r="E38">
            <v>10.737733560188992</v>
          </cell>
        </row>
        <row r="39">
          <cell r="B39">
            <v>1.9179614112518257</v>
          </cell>
          <cell r="C39">
            <v>0.47102789681270035</v>
          </cell>
          <cell r="D39">
            <v>2.6910219992016531</v>
          </cell>
          <cell r="E39">
            <v>3.9332941528565617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0.29225886759354214</v>
          </cell>
          <cell r="C41">
            <v>0.69503733298809534</v>
          </cell>
          <cell r="D41">
            <v>3.9178577188249603E-2</v>
          </cell>
          <cell r="E41">
            <v>0.64995002761281984</v>
          </cell>
        </row>
        <row r="42">
          <cell r="B42">
            <v>0.87270138427743704</v>
          </cell>
          <cell r="C42">
            <v>2.0302149632354261</v>
          </cell>
          <cell r="D42">
            <v>4.6860382025657925</v>
          </cell>
          <cell r="E42">
            <v>4.7384954561536325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3.7119628730136038</v>
          </cell>
          <cell r="C44">
            <v>3.7138498658555261</v>
          </cell>
          <cell r="D44">
            <v>4.7745570104552994E-3</v>
          </cell>
          <cell r="E44">
            <v>4.2587390915451656E-3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5.4247212122868912E-2</v>
          </cell>
          <cell r="C48">
            <v>3.2043714061842339E-3</v>
          </cell>
          <cell r="D48">
            <v>8.7803043246946124E-3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0.10067913043484628</v>
          </cell>
          <cell r="C51">
            <v>5.2495115366545334E-3</v>
          </cell>
          <cell r="D51">
            <v>1.0124464780940897E-2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2.6453956633088667</v>
          </cell>
          <cell r="C54">
            <v>3.0460464587742369</v>
          </cell>
          <cell r="D54">
            <v>3.0423987923177669</v>
          </cell>
          <cell r="E54">
            <v>3.0321071621897415</v>
          </cell>
        </row>
        <row r="55">
          <cell r="B55">
            <v>1.655279631638912</v>
          </cell>
          <cell r="C55">
            <v>1.7385340815147439</v>
          </cell>
          <cell r="D55">
            <v>4.2482397092972579E-2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0.13502546585350092</v>
          </cell>
          <cell r="C63">
            <v>5.7261980877209738E-3</v>
          </cell>
          <cell r="D63">
            <v>2.7989845055682534E-2</v>
          </cell>
          <cell r="E63">
            <v>3.1390657413825677E-2</v>
          </cell>
        </row>
        <row r="64">
          <cell r="B64">
            <v>1.5438967366048877E-3</v>
          </cell>
          <cell r="C64">
            <v>1.1547766018546127E-3</v>
          </cell>
          <cell r="D64">
            <v>1.996437563908468E-2</v>
          </cell>
          <cell r="E64">
            <v>5.0477852928681892E-2</v>
          </cell>
        </row>
        <row r="65">
          <cell r="B65">
            <v>1.3378216471674805E-3</v>
          </cell>
          <cell r="C65">
            <v>1.0223605512423516E-3</v>
          </cell>
          <cell r="D65">
            <v>1.8553665626403881E-2</v>
          </cell>
          <cell r="E65">
            <v>3.716286138491675E-2</v>
          </cell>
        </row>
        <row r="66">
          <cell r="B66">
            <v>4.3815987883659603E-4</v>
          </cell>
          <cell r="C66">
            <v>4.369092048283886E-4</v>
          </cell>
          <cell r="D66">
            <v>0.12259288657356644</v>
          </cell>
          <cell r="E66">
            <v>0.22079967206576276</v>
          </cell>
        </row>
        <row r="67">
          <cell r="B67">
            <v>8.7669170069212354E-4</v>
          </cell>
          <cell r="C67">
            <v>8.6982497537758702E-4</v>
          </cell>
          <cell r="D67">
            <v>0.22134744473586326</v>
          </cell>
          <cell r="E67">
            <v>9.7279571470471379E-2</v>
          </cell>
        </row>
        <row r="68">
          <cell r="B68">
            <v>8.6006011379185197E-4</v>
          </cell>
          <cell r="C68">
            <v>8.5324612022760543E-4</v>
          </cell>
          <cell r="D68">
            <v>6.7898156586768038E-2</v>
          </cell>
          <cell r="E68">
            <v>3.517385524158452E-2</v>
          </cell>
        </row>
        <row r="69">
          <cell r="B69">
            <v>4.4223944473081438E-4</v>
          </cell>
          <cell r="C69">
            <v>4.3895264775452032E-4</v>
          </cell>
          <cell r="D69">
            <v>0.21249374162385173</v>
          </cell>
          <cell r="E69">
            <v>0.10400390048488352</v>
          </cell>
        </row>
        <row r="90">
          <cell r="B90">
            <v>2.0280803701084138</v>
          </cell>
          <cell r="C90">
            <v>1.7153793901806633</v>
          </cell>
          <cell r="D90">
            <v>0.95479823649707263</v>
          </cell>
          <cell r="E90">
            <v>3.549512150166287</v>
          </cell>
        </row>
        <row r="91">
          <cell r="B91">
            <v>1.1839529493940701</v>
          </cell>
          <cell r="C91">
            <v>1.1839506438818965</v>
          </cell>
          <cell r="D91">
            <v>1.1839511575705857</v>
          </cell>
          <cell r="E91">
            <v>1.1839500793150159</v>
          </cell>
        </row>
        <row r="92">
          <cell r="B92">
            <v>1.4500078789959512</v>
          </cell>
          <cell r="C92">
            <v>3.8019175344714666</v>
          </cell>
          <cell r="D92">
            <v>3.8014850482265414</v>
          </cell>
          <cell r="E92">
            <v>1.0696417797971158</v>
          </cell>
        </row>
        <row r="93">
          <cell r="B93">
            <v>0.21542304531607956</v>
          </cell>
          <cell r="C93">
            <v>0.21747532009533904</v>
          </cell>
          <cell r="D93">
            <v>4.8650276723569011E-4</v>
          </cell>
          <cell r="E93">
            <v>3.1683609116353893E-4</v>
          </cell>
        </row>
        <row r="94">
          <cell r="B94">
            <v>1.900623264740356</v>
          </cell>
          <cell r="C94">
            <v>1.7153106222940671</v>
          </cell>
          <cell r="D94">
            <v>1.4706632015381014</v>
          </cell>
          <cell r="E94">
            <v>1.1379718905021399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2.5868468216697036E-5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1.5007685668642978</v>
          </cell>
          <cell r="D97">
            <v>1.5462434048947613</v>
          </cell>
          <cell r="E97">
            <v>1.6251173870728275</v>
          </cell>
        </row>
      </sheetData>
      <sheetData sheetId="60">
        <row r="14">
          <cell r="B14">
            <v>3.0805587016157077</v>
          </cell>
          <cell r="C14">
            <v>3.080558631060204</v>
          </cell>
          <cell r="D14">
            <v>2.840241771507114</v>
          </cell>
          <cell r="E14">
            <v>2.6090416682333681</v>
          </cell>
        </row>
        <row r="15">
          <cell r="B15">
            <v>7.3394300010600002</v>
          </cell>
          <cell r="C15">
            <v>7.340129520814533</v>
          </cell>
          <cell r="D15">
            <v>7.3433065433839069</v>
          </cell>
          <cell r="E15">
            <v>7.4148363376080182</v>
          </cell>
        </row>
        <row r="16">
          <cell r="B16">
            <v>4.7247299999999992</v>
          </cell>
          <cell r="C16">
            <v>4.8072225801712865</v>
          </cell>
          <cell r="D16">
            <v>4.8593603461091757</v>
          </cell>
          <cell r="E16">
            <v>4.8631934657379645</v>
          </cell>
        </row>
        <row r="17">
          <cell r="B17">
            <v>3.3394499999999998</v>
          </cell>
          <cell r="C17">
            <v>3.9710957768813762</v>
          </cell>
          <cell r="D17">
            <v>4.3595168307603265</v>
          </cell>
          <cell r="E17">
            <v>4.3595168307603265</v>
          </cell>
        </row>
        <row r="18">
          <cell r="B18">
            <v>1.7740408038023209E-2</v>
          </cell>
          <cell r="C18">
            <v>1.7709049015198347E-2</v>
          </cell>
          <cell r="D18">
            <v>1.069946053958622E-2</v>
          </cell>
          <cell r="E18">
            <v>1.5061168316146473E-2</v>
          </cell>
        </row>
        <row r="19">
          <cell r="B19">
            <v>0.30586268122458643</v>
          </cell>
          <cell r="C19">
            <v>0.30586220918301166</v>
          </cell>
          <cell r="D19">
            <v>0.30586216537556749</v>
          </cell>
          <cell r="E19">
            <v>0.2759923019498291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4.7423957056209498E-2</v>
          </cell>
          <cell r="C24">
            <v>5.8279444817566084E-5</v>
          </cell>
          <cell r="D24">
            <v>2.7698857114982767E-3</v>
          </cell>
          <cell r="E24">
            <v>2.7155260560995029E-3</v>
          </cell>
        </row>
        <row r="25">
          <cell r="B25">
            <v>1.3313684453287199E-2</v>
          </cell>
          <cell r="C25">
            <v>2.7511037404386804E-3</v>
          </cell>
          <cell r="D25">
            <v>2.7438266746095188E-3</v>
          </cell>
          <cell r="E25">
            <v>3.9814622617166791E-2</v>
          </cell>
        </row>
        <row r="26">
          <cell r="B26">
            <v>7.8399999999999997E-2</v>
          </cell>
          <cell r="C26">
            <v>7.1001051873236229E-2</v>
          </cell>
          <cell r="D26">
            <v>7.0489792349326133E-2</v>
          </cell>
          <cell r="E26">
            <v>7.0489665526808631E-2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1.3779547072016105E-3</v>
          </cell>
          <cell r="C28">
            <v>3.0197636330717668E-4</v>
          </cell>
          <cell r="D28">
            <v>2.832903513590463E-4</v>
          </cell>
          <cell r="E28">
            <v>2.0645003532958339E-4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9.0660015290532983E-2</v>
          </cell>
          <cell r="D33">
            <v>8.3655932784461984E-2</v>
          </cell>
          <cell r="E33">
            <v>0.34087568043792532</v>
          </cell>
        </row>
        <row r="34">
          <cell r="B34">
            <v>0</v>
          </cell>
          <cell r="C34">
            <v>0</v>
          </cell>
          <cell r="D34">
            <v>4.49256426329794E-2</v>
          </cell>
          <cell r="E34">
            <v>0.12137559051701421</v>
          </cell>
        </row>
        <row r="35">
          <cell r="B35">
            <v>1.1186210000000001</v>
          </cell>
          <cell r="C35">
            <v>1.6529270324457845</v>
          </cell>
          <cell r="D35">
            <v>3.5611858876934601</v>
          </cell>
          <cell r="E35">
            <v>5.6146830368830303</v>
          </cell>
        </row>
        <row r="36">
          <cell r="B36">
            <v>0.67885700000000004</v>
          </cell>
          <cell r="C36">
            <v>1.1559039665013733</v>
          </cell>
          <cell r="D36">
            <v>1.2893124122744692</v>
          </cell>
          <cell r="E36">
            <v>1.2524298029135548</v>
          </cell>
        </row>
        <row r="37">
          <cell r="B37">
            <v>0.27424799999999999</v>
          </cell>
          <cell r="C37">
            <v>0.43894990355640812</v>
          </cell>
          <cell r="D37">
            <v>1.1135606130346667</v>
          </cell>
          <cell r="E37">
            <v>1.1018360969315868</v>
          </cell>
        </row>
        <row r="38">
          <cell r="B38">
            <v>0.90292899999999998</v>
          </cell>
          <cell r="C38">
            <v>1.1231012782771315</v>
          </cell>
          <cell r="D38">
            <v>3.1799453355176599</v>
          </cell>
          <cell r="E38">
            <v>3.0953760754309401</v>
          </cell>
        </row>
        <row r="39">
          <cell r="B39">
            <v>5.3315818187333205E-2</v>
          </cell>
          <cell r="C39">
            <v>3.9432518674767505E-2</v>
          </cell>
          <cell r="D39">
            <v>4.5908271928096739E-2</v>
          </cell>
          <cell r="E39">
            <v>5.5468315607730634E-2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8.3052325815200796E-3</v>
          </cell>
          <cell r="C41">
            <v>7.0743874282106203E-3</v>
          </cell>
          <cell r="D41">
            <v>9.4652080890489324E-3</v>
          </cell>
          <cell r="E41">
            <v>2.4205518852551837E-2</v>
          </cell>
        </row>
        <row r="42">
          <cell r="B42">
            <v>6.4392195429600809E-3</v>
          </cell>
          <cell r="C42">
            <v>1.6951192319200208E-2</v>
          </cell>
          <cell r="D42">
            <v>4.6445000965936109E-2</v>
          </cell>
          <cell r="E42">
            <v>5.9308203443770142E-2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3.8830585659036999E-2</v>
          </cell>
          <cell r="C44">
            <v>9.3641992011918584E-3</v>
          </cell>
          <cell r="D44">
            <v>7.9480693156566695E-5</v>
          </cell>
          <cell r="E44">
            <v>7.7955582672952634E-5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3.9198137348719379E-3</v>
          </cell>
          <cell r="C48">
            <v>1.7907270346318179E-4</v>
          </cell>
          <cell r="D48">
            <v>1.7767906011318155E-4</v>
          </cell>
          <cell r="E48">
            <v>1.6935473814964916E-4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8.3678803772576013E-3</v>
          </cell>
          <cell r="C51">
            <v>1.9211841693825372E-4</v>
          </cell>
          <cell r="D51">
            <v>1.9256313759058105E-4</v>
          </cell>
          <cell r="E51">
            <v>7.5641256551824343E-5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7.35127E-2</v>
          </cell>
          <cell r="C54">
            <v>8.4744615041142016E-2</v>
          </cell>
          <cell r="D54">
            <v>8.4744519225760401E-2</v>
          </cell>
          <cell r="E54">
            <v>8.4744682181003228E-2</v>
          </cell>
        </row>
        <row r="55">
          <cell r="B55">
            <v>6.5199883456219868E-2</v>
          </cell>
          <cell r="C55">
            <v>4.7876845561993231E-2</v>
          </cell>
          <cell r="D55">
            <v>8.9914882571760085E-4</v>
          </cell>
          <cell r="E55">
            <v>7.4967982266395394E-5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0.1</v>
          </cell>
          <cell r="C63">
            <v>9.9997017632778851E-2</v>
          </cell>
          <cell r="D63">
            <v>9.9996845895696837E-2</v>
          </cell>
          <cell r="E63">
            <v>9.9996756667802403E-2</v>
          </cell>
        </row>
        <row r="64">
          <cell r="B64">
            <v>2.27130938849804E-4</v>
          </cell>
          <cell r="C64">
            <v>2.2730491745640331E-4</v>
          </cell>
          <cell r="D64">
            <v>6.3016306518305443E-3</v>
          </cell>
          <cell r="E64">
            <v>2.649775207111453E-2</v>
          </cell>
        </row>
        <row r="65">
          <cell r="B65">
            <v>1.6545657109003699E-4</v>
          </cell>
          <cell r="C65">
            <v>1.6558970330380008E-4</v>
          </cell>
          <cell r="D65">
            <v>3.8837261403423477E-3</v>
          </cell>
          <cell r="E65">
            <v>1.4393967474372917E-2</v>
          </cell>
        </row>
        <row r="66">
          <cell r="B66">
            <v>1.6085671997848882E-4</v>
          </cell>
          <cell r="C66">
            <v>1.6105266035990667E-4</v>
          </cell>
          <cell r="D66">
            <v>6.9483698079187403E-2</v>
          </cell>
          <cell r="E66">
            <v>0.15319936296179992</v>
          </cell>
        </row>
        <row r="67">
          <cell r="B67">
            <v>3.20276464083962E-4</v>
          </cell>
          <cell r="C67">
            <v>3.2065829125296145E-4</v>
          </cell>
          <cell r="D67">
            <v>0.12808601663663455</v>
          </cell>
          <cell r="E67">
            <v>0.12869411358905883</v>
          </cell>
        </row>
        <row r="68">
          <cell r="B68">
            <v>3.1412669526998185E-4</v>
          </cell>
          <cell r="C68">
            <v>3.145023461360484E-4</v>
          </cell>
          <cell r="D68">
            <v>3.8241603831495677E-2</v>
          </cell>
          <cell r="E68">
            <v>3.9359354055821812E-2</v>
          </cell>
        </row>
        <row r="69">
          <cell r="B69">
            <v>1.6163549904325657E-4</v>
          </cell>
          <cell r="C69">
            <v>1.6183151654969709E-4</v>
          </cell>
          <cell r="D69">
            <v>0.12408998844761741</v>
          </cell>
          <cell r="E69">
            <v>0.12490816930700231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6.9951975453304499E-4</v>
          </cell>
          <cell r="D15">
            <v>3.1775907876245495E-3</v>
          </cell>
          <cell r="E15">
            <v>0.2795250626809509</v>
          </cell>
        </row>
        <row r="16">
          <cell r="B16">
            <v>0</v>
          </cell>
          <cell r="C16">
            <v>1.5801416680534888E-4</v>
          </cell>
          <cell r="D16">
            <v>1.2171909605957307E-3</v>
          </cell>
          <cell r="E16">
            <v>8.9075758296030463E-7</v>
          </cell>
        </row>
        <row r="17">
          <cell r="B17">
            <v>0</v>
          </cell>
          <cell r="C17">
            <v>6.6830760326266799E-5</v>
          </cell>
          <cell r="D17">
            <v>4.69113536203915E-8</v>
          </cell>
          <cell r="E17">
            <v>4.7674089535733098E-8</v>
          </cell>
        </row>
        <row r="18">
          <cell r="B18">
            <v>0</v>
          </cell>
          <cell r="C18">
            <v>2.1604719164306202E-6</v>
          </cell>
          <cell r="D18">
            <v>4.1756510618392801E-5</v>
          </cell>
          <cell r="E18">
            <v>8.0179569884006908E-3</v>
          </cell>
        </row>
        <row r="19">
          <cell r="B19">
            <v>0</v>
          </cell>
          <cell r="C19">
            <v>4.1905992957292102E-8</v>
          </cell>
          <cell r="D19">
            <v>9.4402605497841098E-8</v>
          </cell>
          <cell r="E19">
            <v>5.4107989895066502E-2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9.6381445964454604E-8</v>
          </cell>
          <cell r="D24">
            <v>2.7115324089321199E-3</v>
          </cell>
          <cell r="E24">
            <v>5.5185581081762498E-7</v>
          </cell>
        </row>
        <row r="25">
          <cell r="B25">
            <v>0</v>
          </cell>
          <cell r="C25">
            <v>3.53339480790937E-8</v>
          </cell>
          <cell r="D25">
            <v>3.0943961463134699E-7</v>
          </cell>
          <cell r="E25">
            <v>3.70711202822653E-2</v>
          </cell>
        </row>
        <row r="26">
          <cell r="B26">
            <v>0</v>
          </cell>
          <cell r="C26">
            <v>2.6400649049387E-8</v>
          </cell>
          <cell r="D26">
            <v>2.63322594213968E-8</v>
          </cell>
          <cell r="E26">
            <v>6.5415622175895802E-8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4.01678452575365E-7</v>
          </cell>
          <cell r="D28">
            <v>4.3055743559194101E-7</v>
          </cell>
          <cell r="E28">
            <v>5.0150988235647799E-7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7.1321272539257904E-3</v>
          </cell>
          <cell r="D33">
            <v>0.402134121651257</v>
          </cell>
          <cell r="E33">
            <v>2.75956300363124E-5</v>
          </cell>
        </row>
        <row r="34">
          <cell r="B34">
            <v>0</v>
          </cell>
          <cell r="C34">
            <v>0</v>
          </cell>
          <cell r="D34">
            <v>0.12066642319246701</v>
          </cell>
          <cell r="E34">
            <v>2.3701566231692586E-2</v>
          </cell>
        </row>
        <row r="35">
          <cell r="B35">
            <v>0</v>
          </cell>
          <cell r="C35">
            <v>1.78587344204381E-8</v>
          </cell>
          <cell r="D35">
            <v>1.7679648698347199</v>
          </cell>
          <cell r="E35">
            <v>2.1224130459936799</v>
          </cell>
        </row>
        <row r="36">
          <cell r="B36">
            <v>0</v>
          </cell>
          <cell r="C36">
            <v>4.0488232233393173E-6</v>
          </cell>
          <cell r="D36">
            <v>1.5136345124583671E-4</v>
          </cell>
          <cell r="E36">
            <v>2.2558270568979002E-7</v>
          </cell>
        </row>
        <row r="37">
          <cell r="B37">
            <v>0</v>
          </cell>
          <cell r="C37">
            <v>4.5860799951374544E-6</v>
          </cell>
          <cell r="D37">
            <v>0.63040802695467102</v>
          </cell>
          <cell r="E37">
            <v>2.7163743878570002E-7</v>
          </cell>
        </row>
        <row r="38">
          <cell r="B38">
            <v>0</v>
          </cell>
          <cell r="C38">
            <v>1.6709121408821401E-8</v>
          </cell>
          <cell r="D38">
            <v>2.0047163188085402</v>
          </cell>
          <cell r="E38">
            <v>5.6167260048787296E-7</v>
          </cell>
        </row>
        <row r="39">
          <cell r="B39">
            <v>0</v>
          </cell>
          <cell r="C39">
            <v>1.6531589830338499E-7</v>
          </cell>
          <cell r="D39">
            <v>6.4758760470310199E-3</v>
          </cell>
          <cell r="E39">
            <v>3.7022233279364401E-2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6.1416293832427804E-3</v>
          </cell>
          <cell r="D41">
            <v>2.39098461257324E-3</v>
          </cell>
          <cell r="E41">
            <v>1.47403717868171E-2</v>
          </cell>
        </row>
        <row r="42">
          <cell r="B42">
            <v>0</v>
          </cell>
          <cell r="C42">
            <v>1.5272198809611E-2</v>
          </cell>
          <cell r="D42">
            <v>2.9493875340350001E-2</v>
          </cell>
          <cell r="E42">
            <v>1.28633152077642E-2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1.6698904853676301E-8</v>
          </cell>
          <cell r="D44">
            <v>1.21387107098253E-8</v>
          </cell>
          <cell r="E44">
            <v>2.4048645689022301E-8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3.1801650507618999E-5</v>
          </cell>
        </row>
        <row r="48">
          <cell r="B48">
            <v>0</v>
          </cell>
          <cell r="C48">
            <v>3.6151709307951818E-5</v>
          </cell>
          <cell r="D48">
            <v>9.4368435150526997E-8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7.701321675011561E-7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1.796585766999992E-6</v>
          </cell>
        </row>
        <row r="51">
          <cell r="B51">
            <v>0</v>
          </cell>
          <cell r="C51">
            <v>1.04636750250073E-4</v>
          </cell>
          <cell r="D51">
            <v>4.2282536963265729E-7</v>
          </cell>
          <cell r="E51">
            <v>3.45164196397029E-8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2.7153873415405197E-6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3.22523526235424E-6</v>
          </cell>
        </row>
        <row r="54">
          <cell r="B54">
            <v>0</v>
          </cell>
          <cell r="C54">
            <v>2.6187181431673302E-2</v>
          </cell>
          <cell r="D54">
            <v>6.5661032912017201E-3</v>
          </cell>
          <cell r="E54">
            <v>1.22210139226939E-2</v>
          </cell>
        </row>
        <row r="55">
          <cell r="B55">
            <v>0</v>
          </cell>
          <cell r="C55">
            <v>2.7170740878326799E-2</v>
          </cell>
          <cell r="D55">
            <v>1.33784884002385E-8</v>
          </cell>
          <cell r="E55">
            <v>2.1006864876620199E-8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3.4333028508195999E-6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1.37250391558667E-6</v>
          </cell>
        </row>
        <row r="63">
          <cell r="B63">
            <v>0</v>
          </cell>
          <cell r="C63">
            <v>8.4795812707926096E-8</v>
          </cell>
          <cell r="D63">
            <v>8.6838575934311005E-8</v>
          </cell>
          <cell r="E63">
            <v>8.4290698011414404E-8</v>
          </cell>
        </row>
        <row r="64">
          <cell r="B64">
            <v>2.27130938849804E-4</v>
          </cell>
          <cell r="C64">
            <v>2.86598755482789E-7</v>
          </cell>
          <cell r="D64">
            <v>6.0743992761981298E-3</v>
          </cell>
          <cell r="E64">
            <v>2.0257101790822098E-2</v>
          </cell>
        </row>
        <row r="65">
          <cell r="B65">
            <v>1.6545657109003699E-4</v>
          </cell>
          <cell r="C65">
            <v>2.1387204600278399E-7</v>
          </cell>
          <cell r="D65">
            <v>3.7181924230773101E-3</v>
          </cell>
          <cell r="E65">
            <v>1.05546537276884E-2</v>
          </cell>
        </row>
        <row r="66">
          <cell r="B66">
            <v>1.5873746779717E-4</v>
          </cell>
          <cell r="C66">
            <v>2.6147105143463598E-7</v>
          </cell>
          <cell r="D66">
            <v>6.9322770828444E-2</v>
          </cell>
          <cell r="E66">
            <v>8.3760384804503901E-2</v>
          </cell>
        </row>
        <row r="67">
          <cell r="B67">
            <v>3.1479725580527303E-4</v>
          </cell>
          <cell r="C67">
            <v>5.1691208332084695E-7</v>
          </cell>
          <cell r="D67">
            <v>0.12776561605488129</v>
          </cell>
          <cell r="E67">
            <v>6.9803953939970103E-4</v>
          </cell>
        </row>
        <row r="68">
          <cell r="B68">
            <v>3.0864747361540297E-4</v>
          </cell>
          <cell r="C68">
            <v>5.08797203939092E-7</v>
          </cell>
          <cell r="D68">
            <v>3.7927368718747898E-2</v>
          </cell>
          <cell r="E68">
            <v>1.2060377406137549E-3</v>
          </cell>
        </row>
        <row r="69">
          <cell r="B69">
            <v>1.59257725138859E-4</v>
          </cell>
          <cell r="C69">
            <v>2.62092700841697E-7</v>
          </cell>
          <cell r="D69">
            <v>0.123928278686293</v>
          </cell>
          <cell r="E69">
            <v>8.6329915471033795E-4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0.64505964940675253</v>
          </cell>
          <cell r="C5">
            <v>0.63725221790630937</v>
          </cell>
          <cell r="D5">
            <v>1.2038229470264161</v>
          </cell>
          <cell r="E5">
            <v>4.0322246870264504E-5</v>
          </cell>
        </row>
        <row r="12">
          <cell r="B12">
            <v>0.22985656360389739</v>
          </cell>
          <cell r="C12">
            <v>1.1249629377452704E-5</v>
          </cell>
          <cell r="D12">
            <v>0.22985781698420915</v>
          </cell>
          <cell r="E12">
            <v>1.8346684366102156E-5</v>
          </cell>
        </row>
        <row r="19">
          <cell r="B19">
            <v>1.3280019752265102</v>
          </cell>
          <cell r="C19">
            <v>4.2362056033759155</v>
          </cell>
          <cell r="D19">
            <v>4.3847312883975667</v>
          </cell>
          <cell r="E19">
            <v>4.384764263299056</v>
          </cell>
        </row>
        <row r="20">
          <cell r="B20">
            <v>5.629412979512491</v>
          </cell>
          <cell r="C20">
            <v>6.2382338806993749</v>
          </cell>
          <cell r="D20">
            <v>6.029047941182804</v>
          </cell>
          <cell r="E20">
            <v>6.2187592720217086</v>
          </cell>
        </row>
        <row r="21">
          <cell r="B21">
            <v>0</v>
          </cell>
          <cell r="C21">
            <v>2.9924828619671559E-5</v>
          </cell>
          <cell r="D21">
            <v>6.4414245245076102E-5</v>
          </cell>
          <cell r="E21">
            <v>7.3680301321450307E-5</v>
          </cell>
        </row>
        <row r="28">
          <cell r="B28">
            <v>2.5538869309411267E-3</v>
          </cell>
          <cell r="C28">
            <v>2.6010142187142629E-3</v>
          </cell>
          <cell r="D28">
            <v>2.6005748133837692E-3</v>
          </cell>
          <cell r="E28">
            <v>2.600261201527487E-3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1.2890720728256426</v>
          </cell>
          <cell r="C38">
            <v>4.6716855195331997</v>
          </cell>
          <cell r="D38">
            <v>4.5089454363978714</v>
          </cell>
          <cell r="E38">
            <v>4.5089074625673478</v>
          </cell>
        </row>
        <row r="39">
          <cell r="B39">
            <v>1.1764723346029966</v>
          </cell>
          <cell r="C39">
            <v>4.2636163528457924</v>
          </cell>
          <cell r="D39">
            <v>4.1150915266737194</v>
          </cell>
          <cell r="E39">
            <v>4.11505686983645</v>
          </cell>
        </row>
      </sheetData>
      <sheetData sheetId="68">
        <row r="3">
          <cell r="B3">
            <v>48.063397652170998</v>
          </cell>
          <cell r="C3">
            <v>49.195461773834658</v>
          </cell>
          <cell r="D3">
            <v>51.968433951332621</v>
          </cell>
          <cell r="E3">
            <v>53.376898095454827</v>
          </cell>
        </row>
        <row r="6">
          <cell r="B6">
            <v>0</v>
          </cell>
          <cell r="C6">
            <v>1.8405401942699688</v>
          </cell>
          <cell r="D6">
            <v>1.8405392445252828</v>
          </cell>
          <cell r="E6">
            <v>1.841359206333768</v>
          </cell>
        </row>
        <row r="11">
          <cell r="B11">
            <v>60.07001492343538</v>
          </cell>
          <cell r="C11">
            <v>61.585624125267366</v>
          </cell>
          <cell r="D11">
            <v>64.629933566078819</v>
          </cell>
          <cell r="E11">
            <v>67.246281769433907</v>
          </cell>
        </row>
        <row r="18">
          <cell r="B18">
            <v>3.5600044603966894</v>
          </cell>
          <cell r="C18">
            <v>3.464717415452482</v>
          </cell>
          <cell r="D18">
            <v>3.3403267487415373</v>
          </cell>
          <cell r="E18">
            <v>2.3688697598404625E-4</v>
          </cell>
        </row>
        <row r="19">
          <cell r="B19">
            <v>12.728644643289989</v>
          </cell>
          <cell r="C19">
            <v>13.638427482139384</v>
          </cell>
          <cell r="D19">
            <v>13.954535867209007</v>
          </cell>
          <cell r="E19">
            <v>15.337062167562612</v>
          </cell>
        </row>
        <row r="21">
          <cell r="B21">
            <v>7.7980455576488188</v>
          </cell>
          <cell r="C21">
            <v>8.0801506269820464</v>
          </cell>
          <cell r="D21">
            <v>11.036651992679024</v>
          </cell>
          <cell r="E21">
            <v>10.913845350247737</v>
          </cell>
        </row>
        <row r="22">
          <cell r="B22">
            <v>6.7641181729311065E-2</v>
          </cell>
          <cell r="C22">
            <v>8.5491523208523268E-2</v>
          </cell>
          <cell r="D22">
            <v>8.419430149156891E-2</v>
          </cell>
          <cell r="E22">
            <v>8.5486550814930021E-2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0.74847265314895872</v>
          </cell>
          <cell r="C24">
            <v>0.94973041973511985</v>
          </cell>
          <cell r="D24">
            <v>0.96763560947960825</v>
          </cell>
          <cell r="E24">
            <v>2.7543819951566579</v>
          </cell>
        </row>
        <row r="33">
          <cell r="B33">
            <v>12.006617271264387</v>
          </cell>
          <cell r="C33">
            <v>12.710041369816869</v>
          </cell>
          <cell r="D33">
            <v>12.981378440889857</v>
          </cell>
          <cell r="E33">
            <v>14.189558373781807</v>
          </cell>
        </row>
        <row r="34">
          <cell r="B34">
            <v>8.8978100102315807</v>
          </cell>
          <cell r="C34">
            <v>8.1049791533429705</v>
          </cell>
          <cell r="D34">
            <v>8.2566838481507698</v>
          </cell>
          <cell r="E34">
            <v>5.9025186964543765</v>
          </cell>
        </row>
        <row r="35">
          <cell r="B35">
            <v>2.7300043049484755</v>
          </cell>
          <cell r="C35">
            <v>2.7182407459178735</v>
          </cell>
          <cell r="D35">
            <v>1.1675918814892839E-3</v>
          </cell>
          <cell r="E35">
            <v>2.1361049538120043E-4</v>
          </cell>
        </row>
        <row r="36">
          <cell r="B36">
            <v>0</v>
          </cell>
          <cell r="C36">
            <v>0</v>
          </cell>
          <cell r="D36">
            <v>2.4991290934578744E-5</v>
          </cell>
          <cell r="E36">
            <v>0.82020612674500781</v>
          </cell>
        </row>
        <row r="37">
          <cell r="B37">
            <v>35.241713890709484</v>
          </cell>
          <cell r="C37">
            <v>32.195431459920798</v>
          </cell>
          <cell r="D37">
            <v>30.88433310601064</v>
          </cell>
          <cell r="E37">
            <v>27.911397509570108</v>
          </cell>
        </row>
        <row r="38">
          <cell r="B38">
            <v>0.3106472960880986</v>
          </cell>
          <cell r="C38">
            <v>1.8743633474667863E-5</v>
          </cell>
          <cell r="D38">
            <v>2.7573369355255473</v>
          </cell>
          <cell r="E38">
            <v>3.0941189834217866</v>
          </cell>
        </row>
        <row r="39">
          <cell r="B39">
            <v>0.43672788829695591</v>
          </cell>
          <cell r="C39">
            <v>0.552066785112303</v>
          </cell>
          <cell r="D39">
            <v>1.7181878395373353</v>
          </cell>
          <cell r="E39">
            <v>4.5887008579231034</v>
          </cell>
        </row>
        <row r="55">
          <cell r="B55">
            <v>9.8138948399438988</v>
          </cell>
          <cell r="C55">
            <v>10.33508315108238</v>
          </cell>
          <cell r="D55">
            <v>10.576617256713416</v>
          </cell>
          <cell r="E55">
            <v>10.937121345826959</v>
          </cell>
        </row>
        <row r="56">
          <cell r="B56">
            <v>1.1081457819623317</v>
          </cell>
          <cell r="C56">
            <v>1.4007935947799854</v>
          </cell>
          <cell r="D56">
            <v>1.4010974392223721</v>
          </cell>
          <cell r="E56">
            <v>3.9852394058452272</v>
          </cell>
        </row>
        <row r="57">
          <cell r="B57">
            <v>6.9177103428533977</v>
          </cell>
          <cell r="C57">
            <v>6.3115084394813961</v>
          </cell>
          <cell r="D57">
            <v>6.4452407187836736</v>
          </cell>
          <cell r="E57">
            <v>5.2689416257412374</v>
          </cell>
        </row>
        <row r="58">
          <cell r="B58">
            <v>1.8458241606832879</v>
          </cell>
          <cell r="C58">
            <v>1.845821378515532</v>
          </cell>
          <cell r="D58">
            <v>7.9797607650533195E-4</v>
          </cell>
          <cell r="E58">
            <v>1.4755144968456413E-4</v>
          </cell>
        </row>
        <row r="59">
          <cell r="B59">
            <v>28.619769183654057</v>
          </cell>
          <cell r="C59">
            <v>25.940130340218875</v>
          </cell>
          <cell r="D59">
            <v>27.129610248367513</v>
          </cell>
          <cell r="E59">
            <v>25.057325745743384</v>
          </cell>
        </row>
        <row r="60">
          <cell r="B60">
            <v>0</v>
          </cell>
          <cell r="C60">
            <v>0</v>
          </cell>
          <cell r="D60">
            <v>2.642700299469216E-2</v>
          </cell>
          <cell r="E60">
            <v>2.7232758394501656E-2</v>
          </cell>
        </row>
        <row r="61">
          <cell r="B61">
            <v>2.3674029661637963</v>
          </cell>
          <cell r="C61">
            <v>2.3075017986913506</v>
          </cell>
          <cell r="D61">
            <v>2.2296681047849765</v>
          </cell>
          <cell r="E61">
            <v>1.5871427390931096E-4</v>
          </cell>
        </row>
        <row r="62">
          <cell r="B62">
            <v>5.1850560883247825</v>
          </cell>
          <cell r="C62">
            <v>5.5675584428525999</v>
          </cell>
          <cell r="D62">
            <v>5.8792076071780022</v>
          </cell>
          <cell r="E62">
            <v>7.202313811396686</v>
          </cell>
        </row>
        <row r="63">
          <cell r="B63">
            <v>6.5822737364857833</v>
          </cell>
          <cell r="C63">
            <v>7.0678494946773647</v>
          </cell>
          <cell r="D63">
            <v>7.0905080570527623</v>
          </cell>
          <cell r="E63">
            <v>7.1282808160922153</v>
          </cell>
        </row>
        <row r="64">
          <cell r="B64">
            <v>5.3111240812657341</v>
          </cell>
          <cell r="C64">
            <v>6.2669396196579381</v>
          </cell>
          <cell r="D64">
            <v>6.0336283593019617</v>
          </cell>
          <cell r="E64">
            <v>6.1244687297876785</v>
          </cell>
        </row>
        <row r="65">
          <cell r="B65">
            <v>0.46151963789818995</v>
          </cell>
          <cell r="C65">
            <v>0.54457578943301721</v>
          </cell>
          <cell r="D65">
            <v>0.54462772317199415</v>
          </cell>
          <cell r="E65">
            <v>0.54462916795666838</v>
          </cell>
        </row>
        <row r="66">
          <cell r="B66">
            <v>4.1173680544385762</v>
          </cell>
          <cell r="C66">
            <v>4.2663195310465181</v>
          </cell>
          <cell r="D66">
            <v>5.8273522521345233</v>
          </cell>
          <cell r="E66">
            <v>5.7625103449308108</v>
          </cell>
        </row>
        <row r="67">
          <cell r="B67">
            <v>6.7641181729311065E-2</v>
          </cell>
          <cell r="C67">
            <v>8.5491523208523268E-2</v>
          </cell>
          <cell r="D67">
            <v>8.419430149156891E-2</v>
          </cell>
          <cell r="E67">
            <v>8.5486550814930021E-2</v>
          </cell>
        </row>
        <row r="68">
          <cell r="B68">
            <v>0.31051352857913567</v>
          </cell>
          <cell r="C68">
            <v>0.3925194842148475</v>
          </cell>
          <cell r="D68">
            <v>1.2216315539110449</v>
          </cell>
          <cell r="E68">
            <v>3.2625663099833249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1.5206604623210096</v>
          </cell>
          <cell r="D70">
            <v>1.5206596776387744</v>
          </cell>
          <cell r="E70">
            <v>1.5211894795154641</v>
          </cell>
        </row>
        <row r="71">
          <cell r="B71">
            <v>72.708243583982281</v>
          </cell>
          <cell r="C71">
            <v>73.852753050181306</v>
          </cell>
          <cell r="D71">
            <v>76.011268278823763</v>
          </cell>
          <cell r="E71">
            <v>76.907612357752697</v>
          </cell>
        </row>
      </sheetData>
      <sheetData sheetId="69">
        <row r="3">
          <cell r="B3">
            <v>56.994774574912441</v>
          </cell>
          <cell r="C3">
            <v>58.701894564490466</v>
          </cell>
          <cell r="D3">
            <v>58.514299984879372</v>
          </cell>
          <cell r="E3">
            <v>58.51574783260034</v>
          </cell>
        </row>
        <row r="6">
          <cell r="B6">
            <v>0</v>
          </cell>
          <cell r="C6">
            <v>6.9643117502210981</v>
          </cell>
          <cell r="D6">
            <v>2.2375721213979114</v>
          </cell>
          <cell r="E6">
            <v>4.0645233314683571</v>
          </cell>
        </row>
        <row r="11">
          <cell r="B11">
            <v>60.950012993458756</v>
          </cell>
          <cell r="C11">
            <v>60.772354382465515</v>
          </cell>
          <cell r="D11">
            <v>61.297766763411531</v>
          </cell>
          <cell r="E11">
            <v>61.728948601616267</v>
          </cell>
        </row>
        <row r="12">
          <cell r="B12">
            <v>30.256634055456193</v>
          </cell>
          <cell r="C12">
            <v>26.400372028683567</v>
          </cell>
          <cell r="D12">
            <v>27.0577555788281</v>
          </cell>
          <cell r="E12">
            <v>19.55712571454012</v>
          </cell>
        </row>
        <row r="13">
          <cell r="B13">
            <v>0</v>
          </cell>
          <cell r="C13">
            <v>0</v>
          </cell>
          <cell r="D13">
            <v>2.1385234244311305E-5</v>
          </cell>
          <cell r="E13">
            <v>6.5950739768542421E-5</v>
          </cell>
        </row>
        <row r="14">
          <cell r="B14">
            <v>25.260291123940856</v>
          </cell>
          <cell r="C14">
            <v>24.977783818816171</v>
          </cell>
          <cell r="D14">
            <v>24.453278760161044</v>
          </cell>
          <cell r="E14">
            <v>22.682945914576919</v>
          </cell>
        </row>
        <row r="15">
          <cell r="B15">
            <v>0.28839652393049381</v>
          </cell>
          <cell r="C15">
            <v>1.7719980092627461</v>
          </cell>
          <cell r="D15">
            <v>0.46315466748991557</v>
          </cell>
          <cell r="E15">
            <v>6.9432504944597865E-4</v>
          </cell>
        </row>
        <row r="16">
          <cell r="B16">
            <v>1.4022788770303827</v>
          </cell>
          <cell r="C16">
            <v>1.5372259007775346</v>
          </cell>
          <cell r="D16">
            <v>0</v>
          </cell>
          <cell r="E16">
            <v>0</v>
          </cell>
        </row>
        <row r="17">
          <cell r="B17">
            <v>7.7268858741017405</v>
          </cell>
          <cell r="C17">
            <v>8.3696933978694918</v>
          </cell>
          <cell r="D17">
            <v>5.9892066213564963</v>
          </cell>
          <cell r="E17">
            <v>6.9909215167352032</v>
          </cell>
        </row>
        <row r="19">
          <cell r="B19">
            <v>0.62699637824958021</v>
          </cell>
          <cell r="C19">
            <v>0.68733688927713943</v>
          </cell>
          <cell r="D19">
            <v>0.52379311326975142</v>
          </cell>
          <cell r="E19">
            <v>0.61029278424826483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2.9295877734153501</v>
          </cell>
          <cell r="C21">
            <v>3.1924505167333601</v>
          </cell>
          <cell r="D21">
            <v>3.9068718489460488</v>
          </cell>
          <cell r="E21">
            <v>6.7203620348808482</v>
          </cell>
        </row>
        <row r="28">
          <cell r="B28">
            <v>3.9552384185463154</v>
          </cell>
          <cell r="C28">
            <v>2.0704598179750504</v>
          </cell>
          <cell r="D28">
            <v>2.7834667785321514</v>
          </cell>
          <cell r="E28">
            <v>3.2132007690159163</v>
          </cell>
        </row>
        <row r="47">
          <cell r="B47">
            <v>4.2612185795132396</v>
          </cell>
          <cell r="C47">
            <v>4.6176516402750387</v>
          </cell>
          <cell r="D47">
            <v>4.7664917213640079</v>
          </cell>
          <cell r="E47">
            <v>7.5118334938063009</v>
          </cell>
        </row>
        <row r="48">
          <cell r="B48">
            <v>24.843069628867219</v>
          </cell>
          <cell r="C48">
            <v>21.719700361978994</v>
          </cell>
          <cell r="D48">
            <v>21.493883801556422</v>
          </cell>
          <cell r="E48">
            <v>15.849715032645875</v>
          </cell>
        </row>
        <row r="49">
          <cell r="B49">
            <v>24.189714900644145</v>
          </cell>
          <cell r="C49">
            <v>25.326921092542829</v>
          </cell>
          <cell r="D49">
            <v>20.5470425238986</v>
          </cell>
          <cell r="E49">
            <v>18.075175015545405</v>
          </cell>
        </row>
        <row r="50">
          <cell r="B50">
            <v>0</v>
          </cell>
          <cell r="C50">
            <v>0</v>
          </cell>
          <cell r="D50">
            <v>1.7217033205497339</v>
          </cell>
          <cell r="E50">
            <v>3.4536906775593574</v>
          </cell>
        </row>
        <row r="51">
          <cell r="B51">
            <v>2.0957156773978651</v>
          </cell>
          <cell r="C51">
            <v>2.2700604344124597</v>
          </cell>
          <cell r="D51">
            <v>0</v>
          </cell>
          <cell r="E51">
            <v>0</v>
          </cell>
        </row>
        <row r="52">
          <cell r="B52">
            <v>5.5539013379628575</v>
          </cell>
          <cell r="C52">
            <v>6.0159360294783326</v>
          </cell>
          <cell r="D52">
            <v>4.9302573283011286</v>
          </cell>
          <cell r="E52">
            <v>5.7793794550250759</v>
          </cell>
        </row>
        <row r="53">
          <cell r="B53">
            <v>6.1735456032767795</v>
          </cell>
          <cell r="C53">
            <v>6.8807335819935878</v>
          </cell>
          <cell r="D53">
            <v>6.1542998136493985</v>
          </cell>
          <cell r="E53">
            <v>6.278426986203284</v>
          </cell>
        </row>
        <row r="54">
          <cell r="B54">
            <v>1.8770715308791384</v>
          </cell>
          <cell r="C54">
            <v>2.1600830818836454</v>
          </cell>
          <cell r="D54">
            <v>0.42489618913846366</v>
          </cell>
          <cell r="E54">
            <v>0.71393835559870633</v>
          </cell>
        </row>
        <row r="55">
          <cell r="B55">
            <v>0.62699637824958021</v>
          </cell>
          <cell r="C55">
            <v>0.68733688927713943</v>
          </cell>
          <cell r="D55">
            <v>0.52379311326975142</v>
          </cell>
          <cell r="E55">
            <v>0.61029278424826483</v>
          </cell>
        </row>
        <row r="56">
          <cell r="B56">
            <v>1.2230676365458992</v>
          </cell>
          <cell r="C56">
            <v>1.340768430658166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6.9643117502210981</v>
          </cell>
          <cell r="D58">
            <v>2.2375721213979114</v>
          </cell>
          <cell r="E58">
            <v>4.0645233314683571</v>
          </cell>
        </row>
        <row r="59">
          <cell r="B59">
            <v>73.238343219695921</v>
          </cell>
          <cell r="C59">
            <v>78.573914998127819</v>
          </cell>
          <cell r="D59">
            <v>63.321895988711674</v>
          </cell>
          <cell r="E59">
            <v>62.691426460253616</v>
          </cell>
        </row>
      </sheetData>
      <sheetData sheetId="70">
        <row r="3">
          <cell r="B3">
            <v>44.576905675476212</v>
          </cell>
          <cell r="C3">
            <v>44.861180662748197</v>
          </cell>
          <cell r="D3">
            <v>49.523391932068883</v>
          </cell>
          <cell r="E3">
            <v>50.016883451970948</v>
          </cell>
        </row>
        <row r="10">
          <cell r="B10">
            <v>4.4947373750853725E-2</v>
          </cell>
          <cell r="C10">
            <v>8.1783676962274736</v>
          </cell>
          <cell r="D10">
            <v>5.1188932621152974</v>
          </cell>
          <cell r="E10">
            <v>9.2440915833001114</v>
          </cell>
        </row>
        <row r="15">
          <cell r="B15">
            <v>69.470033851746962</v>
          </cell>
          <cell r="C15">
            <v>70.028411723656916</v>
          </cell>
          <cell r="D15">
            <v>69.491915727101642</v>
          </cell>
          <cell r="E15">
            <v>70.760390832898594</v>
          </cell>
        </row>
        <row r="16">
          <cell r="B16">
            <v>60.231828915783481</v>
          </cell>
          <cell r="C16">
            <v>51.320008617506552</v>
          </cell>
          <cell r="D16">
            <v>50.991262938038375</v>
          </cell>
          <cell r="E16">
            <v>33.332629373233573</v>
          </cell>
        </row>
        <row r="17">
          <cell r="B17">
            <v>0</v>
          </cell>
          <cell r="C17">
            <v>0</v>
          </cell>
          <cell r="D17">
            <v>2.1456804431857636E-5</v>
          </cell>
          <cell r="E17">
            <v>6.627843330687327E-5</v>
          </cell>
        </row>
        <row r="18">
          <cell r="B18">
            <v>46.691551575696771</v>
          </cell>
          <cell r="C18">
            <v>45.248017789277483</v>
          </cell>
          <cell r="D18">
            <v>47.61151836864952</v>
          </cell>
          <cell r="E18">
            <v>43.564118781118502</v>
          </cell>
        </row>
        <row r="19">
          <cell r="B19">
            <v>0.31036786950997175</v>
          </cell>
          <cell r="C19">
            <v>2.3471514137136982</v>
          </cell>
          <cell r="D19">
            <v>0.52848935319942258</v>
          </cell>
          <cell r="E19">
            <v>6.9646377635419656E-4</v>
          </cell>
        </row>
        <row r="20">
          <cell r="B20">
            <v>0.10000087481723838</v>
          </cell>
          <cell r="C20">
            <v>0.10000064147796808</v>
          </cell>
          <cell r="D20">
            <v>2.6953289373847958E-2</v>
          </cell>
          <cell r="E20">
            <v>6.0615561167295905E-3</v>
          </cell>
        </row>
        <row r="21">
          <cell r="B21">
            <v>8.4154782471943737</v>
          </cell>
          <cell r="C21">
            <v>9.67146109314284</v>
          </cell>
          <cell r="D21">
            <v>8.3537854965563145</v>
          </cell>
          <cell r="E21">
            <v>9.4662594568640426</v>
          </cell>
        </row>
        <row r="22">
          <cell r="B22">
            <v>16.991209788510226</v>
          </cell>
          <cell r="C22">
            <v>17.714327403802947</v>
          </cell>
          <cell r="D22">
            <v>17.008792778189399</v>
          </cell>
          <cell r="E22">
            <v>16.518899425525213</v>
          </cell>
        </row>
        <row r="23">
          <cell r="B23">
            <v>2.5068274400828376</v>
          </cell>
          <cell r="C23">
            <v>2.9280139363750326</v>
          </cell>
          <cell r="D23">
            <v>0.93532387787510463</v>
          </cell>
          <cell r="E23">
            <v>1.1101405338707628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15.194984055049646</v>
          </cell>
          <cell r="C25">
            <v>17.635318453189043</v>
          </cell>
          <cell r="D25">
            <v>25.40511120661521</v>
          </cell>
          <cell r="E25">
            <v>36.423324705367293</v>
          </cell>
        </row>
        <row r="26">
          <cell r="B26">
            <v>219.91228261839149</v>
          </cell>
          <cell r="C26">
            <v>216.99271107214253</v>
          </cell>
          <cell r="D26">
            <v>220.35317449240327</v>
          </cell>
          <cell r="E26">
            <v>211.18258740720438</v>
          </cell>
        </row>
        <row r="102">
          <cell r="B102">
            <v>8.9080130703557643</v>
          </cell>
          <cell r="C102">
            <v>7.8831623706678933</v>
          </cell>
          <cell r="D102">
            <v>0.83392771630437856</v>
          </cell>
          <cell r="E102">
            <v>0.22621841137272364</v>
          </cell>
        </row>
        <row r="104">
          <cell r="B104">
            <v>19.060343258291716</v>
          </cell>
          <cell r="C104">
            <v>22.07014907416902</v>
          </cell>
          <cell r="D104">
            <v>31.190550991056536</v>
          </cell>
          <cell r="E104">
            <v>39.677370569549588</v>
          </cell>
        </row>
        <row r="105">
          <cell r="B105">
            <v>45.124394631453718</v>
          </cell>
          <cell r="C105">
            <v>38.53718010888177</v>
          </cell>
          <cell r="D105">
            <v>35.664179462760892</v>
          </cell>
          <cell r="E105">
            <v>23.874396835014501</v>
          </cell>
        </row>
        <row r="106">
          <cell r="B106">
            <v>36.569918490616288</v>
          </cell>
          <cell r="C106">
            <v>38.724976350030296</v>
          </cell>
          <cell r="D106">
            <v>32.834148891139904</v>
          </cell>
          <cell r="E106">
            <v>27.849842249207754</v>
          </cell>
        </row>
        <row r="107">
          <cell r="B107">
            <v>0</v>
          </cell>
          <cell r="C107">
            <v>0</v>
          </cell>
          <cell r="D107">
            <v>4.399792038962496</v>
          </cell>
          <cell r="E107">
            <v>9.3573957163317019</v>
          </cell>
        </row>
        <row r="108">
          <cell r="B108">
            <v>7.2000629868411645E-2</v>
          </cell>
          <cell r="C108">
            <v>7.2000461864137069E-2</v>
          </cell>
          <cell r="D108">
            <v>2.1543782378820975E-2</v>
          </cell>
          <cell r="E108">
            <v>4.8487062290993458E-3</v>
          </cell>
        </row>
        <row r="109">
          <cell r="B109">
            <v>7.850397182183963E-2</v>
          </cell>
          <cell r="C109">
            <v>5.085287618143251E-3</v>
          </cell>
          <cell r="D109">
            <v>0</v>
          </cell>
          <cell r="E109">
            <v>0</v>
          </cell>
        </row>
        <row r="110">
          <cell r="B110">
            <v>6.5594773709658787</v>
          </cell>
          <cell r="C110">
            <v>7.6930519625798857</v>
          </cell>
          <cell r="D110">
            <v>5.8862265040764612</v>
          </cell>
          <cell r="E110">
            <v>6.6017962709459468</v>
          </cell>
        </row>
        <row r="111">
          <cell r="B111">
            <v>9.1310770474944682</v>
          </cell>
          <cell r="C111">
            <v>9.1352576792618922</v>
          </cell>
          <cell r="D111">
            <v>9.8809311262269262</v>
          </cell>
          <cell r="E111">
            <v>9.3222701913975055</v>
          </cell>
        </row>
        <row r="112">
          <cell r="B112">
            <v>2.6968886507046301</v>
          </cell>
          <cell r="C112">
            <v>3.1682220538640093</v>
          </cell>
          <cell r="D112">
            <v>0.33866507657896777</v>
          </cell>
          <cell r="E112">
            <v>0.53529597735031631</v>
          </cell>
        </row>
        <row r="113">
          <cell r="B113">
            <v>0.78533941542298669</v>
          </cell>
          <cell r="C113">
            <v>0.94128629309483069</v>
          </cell>
          <cell r="D113">
            <v>3.0776095350368664E-2</v>
          </cell>
          <cell r="E113">
            <v>3.5919727013563503E-2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129.03090391074656</v>
          </cell>
          <cell r="C116">
            <v>136.40873933825935</v>
          </cell>
          <cell r="D116">
            <v>126.19963494695105</v>
          </cell>
          <cell r="E116">
            <v>126.72944623771281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26.978307937597791</v>
          </cell>
          <cell r="C224">
            <v>25.930006720386537</v>
          </cell>
          <cell r="D224">
            <v>21.653224432401725</v>
          </cell>
          <cell r="E224">
            <v>22.580872169497709</v>
          </cell>
        </row>
        <row r="231">
          <cell r="B231">
            <v>15.552714927325264</v>
          </cell>
          <cell r="C231">
            <v>14.851871449951048</v>
          </cell>
          <cell r="D231">
            <v>3.6556755878107232</v>
          </cell>
          <cell r="E231">
            <v>2.454576032230714</v>
          </cell>
        </row>
        <row r="233">
          <cell r="B233">
            <v>22.300241358965852</v>
          </cell>
          <cell r="C233">
            <v>25.705608760658137</v>
          </cell>
          <cell r="D233">
            <v>35.929866095932262</v>
          </cell>
          <cell r="E233">
            <v>46.665327366105842</v>
          </cell>
        </row>
        <row r="234">
          <cell r="B234">
            <v>52.108852885495892</v>
          </cell>
          <cell r="C234">
            <v>44.469480195460001</v>
          </cell>
          <cell r="D234">
            <v>40.340318556683478</v>
          </cell>
          <cell r="E234">
            <v>26.976189604638598</v>
          </cell>
        </row>
        <row r="235">
          <cell r="B235">
            <v>42.950369792455874</v>
          </cell>
          <cell r="C235">
            <v>43.876331647061591</v>
          </cell>
          <cell r="D235">
            <v>38.25338556544812</v>
          </cell>
          <cell r="E235">
            <v>32.294727256811704</v>
          </cell>
        </row>
        <row r="236">
          <cell r="B236">
            <v>0</v>
          </cell>
          <cell r="C236">
            <v>0</v>
          </cell>
          <cell r="D236">
            <v>5.2977690718722528</v>
          </cell>
          <cell r="E236">
            <v>11.54909421214407</v>
          </cell>
        </row>
        <row r="238">
          <cell r="B238">
            <v>9.4079968457669666E-2</v>
          </cell>
          <cell r="C238">
            <v>6.0519745008398114E-3</v>
          </cell>
          <cell r="D238">
            <v>0</v>
          </cell>
          <cell r="E238">
            <v>0</v>
          </cell>
        </row>
        <row r="239">
          <cell r="B239">
            <v>7.8609452469459349</v>
          </cell>
          <cell r="C239">
            <v>9.1554613636914652</v>
          </cell>
          <cell r="D239">
            <v>6.8394732694590488</v>
          </cell>
          <cell r="E239">
            <v>7.777002426806753</v>
          </cell>
        </row>
        <row r="240">
          <cell r="B240">
            <v>9.6515494113814331</v>
          </cell>
          <cell r="C240">
            <v>9.7324992938999522</v>
          </cell>
          <cell r="D240">
            <v>11.03901434662316</v>
          </cell>
          <cell r="E240">
            <v>10.55977445765782</v>
          </cell>
        </row>
        <row r="241">
          <cell r="B241">
            <v>2.866682813614319</v>
          </cell>
          <cell r="C241">
            <v>3.3630592789562135</v>
          </cell>
          <cell r="D241">
            <v>0.42159596315450532</v>
          </cell>
          <cell r="E241">
            <v>0.67454622741504311</v>
          </cell>
        </row>
        <row r="242">
          <cell r="B242">
            <v>2.5068274400828376</v>
          </cell>
          <cell r="C242">
            <v>2.9280139363750326</v>
          </cell>
          <cell r="D242">
            <v>0.93532387787510463</v>
          </cell>
          <cell r="E242">
            <v>1.1101405338707628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4.4947373750853725E-2</v>
          </cell>
          <cell r="C244">
            <v>8.1783676962274736</v>
          </cell>
          <cell r="D244">
            <v>5.1188932621152974</v>
          </cell>
          <cell r="E244">
            <v>9.2440915833001114</v>
          </cell>
        </row>
        <row r="245">
          <cell r="B245">
            <v>156.00921184834434</v>
          </cell>
          <cell r="C245">
            <v>162.33874605864591</v>
          </cell>
          <cell r="D245">
            <v>147.85285937935279</v>
          </cell>
          <cell r="E245">
            <v>149.31031840721053</v>
          </cell>
        </row>
      </sheetData>
      <sheetData sheetId="71">
        <row r="21">
          <cell r="B21">
            <v>79.354663510567534</v>
          </cell>
          <cell r="C21">
            <v>73.603470402504982</v>
          </cell>
          <cell r="D21">
            <v>70.014553330766063</v>
          </cell>
          <cell r="E21">
            <v>42.214258493813958</v>
          </cell>
        </row>
        <row r="22">
          <cell r="B22">
            <v>115.79772931063417</v>
          </cell>
          <cell r="C22">
            <v>111.02979220813491</v>
          </cell>
          <cell r="D22">
            <v>94.341316534967731</v>
          </cell>
          <cell r="E22">
            <v>68.120034325751902</v>
          </cell>
        </row>
        <row r="23">
          <cell r="B23">
            <v>1.0926909124886075</v>
          </cell>
          <cell r="C23">
            <v>1.3845515212228099</v>
          </cell>
          <cell r="D23">
            <v>1.8212919412603208</v>
          </cell>
          <cell r="E23">
            <v>2.5340194982234054</v>
          </cell>
        </row>
        <row r="24">
          <cell r="B24">
            <v>0.28617981138259824</v>
          </cell>
          <cell r="C24">
            <v>0.14034321461388932</v>
          </cell>
          <cell r="D24">
            <v>0.20102813473767725</v>
          </cell>
          <cell r="E24">
            <v>6.3112025813903787E-3</v>
          </cell>
        </row>
        <row r="25">
          <cell r="B25">
            <v>4.5954644657504549</v>
          </cell>
          <cell r="C25">
            <v>4.262420366208878</v>
          </cell>
          <cell r="D25">
            <v>4.0545696169958756</v>
          </cell>
          <cell r="E25">
            <v>2.4455723101839668</v>
          </cell>
        </row>
        <row r="26">
          <cell r="B26">
            <v>2.9713152671641083</v>
          </cell>
          <cell r="C26">
            <v>2.9709411541170097</v>
          </cell>
          <cell r="D26">
            <v>4.4328121888229681</v>
          </cell>
          <cell r="E26">
            <v>3.184639869045085</v>
          </cell>
        </row>
        <row r="27">
          <cell r="B27">
            <v>2.3149313354056299E-2</v>
          </cell>
          <cell r="C27">
            <v>1.527723915035047E-2</v>
          </cell>
          <cell r="D27">
            <v>2.031420522741386E-2</v>
          </cell>
          <cell r="E27">
            <v>2.5677302828607754E-4</v>
          </cell>
        </row>
        <row r="28">
          <cell r="B28">
            <v>3.9081036054261899E-4</v>
          </cell>
          <cell r="C28">
            <v>1.2177234380080199E-5</v>
          </cell>
          <cell r="D28">
            <v>4.9472060891920101E-4</v>
          </cell>
          <cell r="E28">
            <v>1.6472102665924599E-2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4.0559774601468066E-3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80.687923733392367</v>
          </cell>
          <cell r="E11">
            <v>79.262150882178446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5.0592953141739274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2.6032787722438342</v>
          </cell>
          <cell r="C53">
            <v>2.3489418869843472</v>
          </cell>
          <cell r="D53">
            <v>2.3343115197309583</v>
          </cell>
          <cell r="E53">
            <v>2.4066962427459213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6.4916335366911131</v>
          </cell>
          <cell r="C55">
            <v>6.2473838442459515</v>
          </cell>
          <cell r="D55">
            <v>5.9456565169538731</v>
          </cell>
          <cell r="E55">
            <v>5.3716687749723881</v>
          </cell>
        </row>
        <row r="56">
          <cell r="B56">
            <v>3.7896191883983401</v>
          </cell>
          <cell r="C56">
            <v>3.4838527740473801</v>
          </cell>
          <cell r="D56">
            <v>3.4139556459734002</v>
          </cell>
          <cell r="E56">
            <v>2.7492464452779699</v>
          </cell>
        </row>
        <row r="57">
          <cell r="B57">
            <v>7.1742764520305569</v>
          </cell>
          <cell r="C57">
            <v>6.4163909367503074</v>
          </cell>
          <cell r="D57">
            <v>6.5193057300018653</v>
          </cell>
          <cell r="E57">
            <v>4.9637638921579113</v>
          </cell>
        </row>
        <row r="58">
          <cell r="B58">
            <v>14.53750522307284</v>
          </cell>
          <cell r="C58">
            <v>13.836403750339436</v>
          </cell>
          <cell r="D58">
            <v>12.408443787465096</v>
          </cell>
          <cell r="E58">
            <v>8.417138609240352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17.776488637642093</v>
          </cell>
          <cell r="G99">
            <v>17.657692235004092</v>
          </cell>
          <cell r="H99">
            <v>17.136488259540648</v>
          </cell>
          <cell r="I99">
            <v>16.252751142557276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2.1436863842811183E-4</v>
          </cell>
          <cell r="J4">
            <v>9.075375452062529E-5</v>
          </cell>
          <cell r="K4">
            <v>0.45395667211345714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6.1133145115451881E-5</v>
          </cell>
          <cell r="J5">
            <v>2.3740408442951962E-5</v>
          </cell>
          <cell r="K5">
            <v>0.45380190603799014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2.671703010456613E-5</v>
          </cell>
          <cell r="J6">
            <v>1.1456520285940406E-5</v>
          </cell>
          <cell r="K6">
            <v>2.5992865702250962E-5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1.5261267021008262E-5</v>
          </cell>
          <cell r="J7">
            <v>8.3967151202840586E-6</v>
          </cell>
          <cell r="K7">
            <v>1.5965449520802042E-5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2.7115495829364763E-5</v>
          </cell>
          <cell r="J8">
            <v>1.1616357691055654E-5</v>
          </cell>
          <cell r="K8">
            <v>2.6203493299122531E-5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2.7394220798815269E-5</v>
          </cell>
          <cell r="J9">
            <v>1.1756148250867363E-5</v>
          </cell>
          <cell r="K9">
            <v>2.7752161601149544E-5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3.0013472774181412E-5</v>
          </cell>
          <cell r="J10">
            <v>1.231184672882932E-5</v>
          </cell>
          <cell r="K10">
            <v>3.2837818341225991E-5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2.6717917038566559E-5</v>
          </cell>
          <cell r="J11">
            <v>1.1459142300629052E-5</v>
          </cell>
          <cell r="K11">
            <v>2.5995839765074086E-5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1.8430167942310536E-3</v>
          </cell>
          <cell r="J12">
            <v>1.9311106166217194E-3</v>
          </cell>
          <cell r="K12">
            <v>2.2289710162730825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1.8430167942310536E-3</v>
          </cell>
          <cell r="J13">
            <v>1.9311106166217194E-3</v>
          </cell>
          <cell r="K13">
            <v>2.2289710162730825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2.3053802240997499E-8</v>
          </cell>
          <cell r="J14">
            <v>6.9672729580657696E-8</v>
          </cell>
          <cell r="K14">
            <v>1.12792729287041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1.9494931736090601E-4</v>
          </cell>
          <cell r="J15">
            <v>1.9510564982474501E-4</v>
          </cell>
          <cell r="K15">
            <v>0.229322000428586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1.2524006024162149</v>
          </cell>
          <cell r="J16">
            <v>1.4566921409481464</v>
          </cell>
          <cell r="K16">
            <v>1.8205268927170397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1.2524006024162149</v>
          </cell>
          <cell r="J17">
            <v>1.4566921409481464</v>
          </cell>
          <cell r="K17">
            <v>1.8205268927170397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0.5506362745448754</v>
          </cell>
          <cell r="J18">
            <v>9.6396573723553397E-2</v>
          </cell>
          <cell r="K18">
            <v>2.484249820108515E-2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0.89615579738237194</v>
          </cell>
          <cell r="J19">
            <v>0.10917953991676103</v>
          </cell>
          <cell r="K19">
            <v>2.7457498011725794E-2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86.269414245284494</v>
          </cell>
          <cell r="J20">
            <v>15.174706376404099</v>
          </cell>
          <cell r="K20">
            <v>3.9714897845981398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1.5295995433561076</v>
          </cell>
          <cell r="J21">
            <v>0.26905507759581687</v>
          </cell>
          <cell r="K21">
            <v>7.0416485542520155E-2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1.13645667352748E-7</v>
          </cell>
          <cell r="J22">
            <v>1.3241801275342199E-7</v>
          </cell>
          <cell r="K22">
            <v>4.9734310628686398E-7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4.8488368048060206E-2</v>
          </cell>
          <cell r="J23">
            <v>2.2927660245354999E-2</v>
          </cell>
          <cell r="K23">
            <v>5.9079010601504204E-3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3.6480029062034771E-5</v>
          </cell>
          <cell r="J24">
            <v>3.5847919347132382E-5</v>
          </cell>
          <cell r="K24">
            <v>3.0984283415349823E-5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3.6480029062034771E-5</v>
          </cell>
          <cell r="J25">
            <v>3.5847919347132382E-5</v>
          </cell>
          <cell r="K25">
            <v>3.0984283415349823E-5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7.8726147175482506E-8</v>
          </cell>
          <cell r="J26">
            <v>1.18838959945542E-7</v>
          </cell>
          <cell r="K26">
            <v>2.6471795734421302E-7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6.7730341628324808E-5</v>
          </cell>
          <cell r="J27">
            <v>6.7539382994752373E-5</v>
          </cell>
          <cell r="K27">
            <v>6.7650742972880096E-5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8.5580509502370145E-2</v>
          </cell>
          <cell r="J28">
            <v>1.7990152228787359E-2</v>
          </cell>
          <cell r="K28">
            <v>0.13666388383268641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8.5580509502369992E-2</v>
          </cell>
          <cell r="J29">
            <v>1.7990152228787332E-2</v>
          </cell>
          <cell r="K29">
            <v>0.13666388383268627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9.4640622814644679E-2</v>
          </cell>
          <cell r="J30">
            <v>1.9894831048273613E-2</v>
          </cell>
          <cell r="K30">
            <v>0.15113200535115834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9.4640622814644679E-2</v>
          </cell>
          <cell r="J31">
            <v>1.9894831048273613E-2</v>
          </cell>
          <cell r="K31">
            <v>0.15113200535115834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7.1130181940312606E-2</v>
          </cell>
          <cell r="J32">
            <v>7.5506748094813003E-2</v>
          </cell>
          <cell r="K32">
            <v>0.12798803450605301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0.13541464908872333</v>
          </cell>
          <cell r="J33">
            <v>0.14676971691723123</v>
          </cell>
          <cell r="K33">
            <v>0.17833756704339818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54.837878307697622</v>
          </cell>
          <cell r="J34">
            <v>80.599372212591831</v>
          </cell>
          <cell r="K34">
            <v>4.7823572606020548E-2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54.77694733180023</v>
          </cell>
          <cell r="J35">
            <v>80.599372212591945</v>
          </cell>
          <cell r="K35">
            <v>4.7823572606020548E-2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60.930973849007124</v>
          </cell>
          <cell r="J36">
            <v>86.66599141201921</v>
          </cell>
          <cell r="K36">
            <v>4.8307283658830073E-2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60.930973849007124</v>
          </cell>
          <cell r="J37">
            <v>86.66599141201921</v>
          </cell>
          <cell r="K37">
            <v>4.8307283658830073E-2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3.0643931491639398</v>
          </cell>
          <cell r="J38">
            <v>1.85810643515013</v>
          </cell>
          <cell r="K38">
            <v>3.5887432109280202E-6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3.4281131019342292</v>
          </cell>
          <cell r="J39">
            <v>5.0291335467728464</v>
          </cell>
          <cell r="K39">
            <v>2.9718321156297911E-3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1.3043232346555687E-4</v>
          </cell>
          <cell r="J40">
            <v>7.5819509617742713E-5</v>
          </cell>
          <cell r="K40">
            <v>9.8958991653554123E-5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3.9824418265331472E-5</v>
          </cell>
          <cell r="J41">
            <v>2.4318083916925793E-5</v>
          </cell>
          <cell r="K41">
            <v>3.5702296175418918E-5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1.4393609897124399E-5</v>
          </cell>
          <cell r="J42">
            <v>7.9915113393812243E-6</v>
          </cell>
          <cell r="K42">
            <v>9.0292933455457908E-6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9.8992126270184308E-6</v>
          </cell>
          <cell r="J43">
            <v>6.4602380773911712E-6</v>
          </cell>
          <cell r="K43">
            <v>7.5597007362879793E-6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1.4528786677169313E-5</v>
          </cell>
          <cell r="J44">
            <v>8.0796832419585512E-6</v>
          </cell>
          <cell r="K44">
            <v>9.1910057363942822E-6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1.793256756695151E-5</v>
          </cell>
          <cell r="J45">
            <v>1.0047638408609857E-5</v>
          </cell>
          <cell r="K45">
            <v>1.3340915908786136E-5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1.944214034108581E-5</v>
          </cell>
          <cell r="J46">
            <v>1.0912618716847573E-5</v>
          </cell>
          <cell r="K46">
            <v>1.5085161001909401E-5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1.4395682023779135E-5</v>
          </cell>
          <cell r="J47">
            <v>7.9934006725204673E-6</v>
          </cell>
          <cell r="K47">
            <v>9.0327682783775595E-6</v>
          </cell>
        </row>
        <row r="48">
          <cell r="B48" t="str">
            <v>ITOT-EBAT</v>
          </cell>
          <cell r="C48" t="str">
            <v>VAR_fout</v>
          </cell>
          <cell r="D48" t="str">
            <v>AUX_ITOT-EBAT_OUT</v>
          </cell>
          <cell r="I48">
            <v>6.0134724632375174E-2</v>
          </cell>
          <cell r="J48">
            <v>7.6581185220922741E-3</v>
          </cell>
          <cell r="K48">
            <v>9.3174103387715784E-2</v>
          </cell>
        </row>
        <row r="49">
          <cell r="B49" t="str">
            <v>ITOT-EBAT</v>
          </cell>
          <cell r="C49" t="str">
            <v>VAR_fout</v>
          </cell>
          <cell r="D49" t="str">
            <v>ITOT_ELC</v>
          </cell>
          <cell r="I49">
            <v>6.0134724632375146E-2</v>
          </cell>
          <cell r="J49">
            <v>7.6581185220922655E-3</v>
          </cell>
          <cell r="K49">
            <v>9.3174103387715701E-2</v>
          </cell>
        </row>
        <row r="50">
          <cell r="B50" t="str">
            <v>ITOT-EBAT</v>
          </cell>
          <cell r="C50" t="str">
            <v>VAR_fin</v>
          </cell>
          <cell r="D50" t="str">
            <v>ITOT_ELC</v>
          </cell>
          <cell r="I50">
            <v>6.6501027492663192E-2</v>
          </cell>
          <cell r="J50">
            <v>8.4689984642919245E-3</v>
          </cell>
          <cell r="K50">
            <v>0.10303820521762622</v>
          </cell>
        </row>
        <row r="51">
          <cell r="B51" t="str">
            <v>ITOT-EBAT</v>
          </cell>
          <cell r="C51" t="str">
            <v>VAR_fin</v>
          </cell>
          <cell r="D51" t="str">
            <v>AUX_ITOT-EBAT_IN</v>
          </cell>
          <cell r="I51">
            <v>6.6501027492663192E-2</v>
          </cell>
          <cell r="J51">
            <v>8.4689984642919245E-3</v>
          </cell>
          <cell r="K51">
            <v>0.10303820521762622</v>
          </cell>
        </row>
        <row r="52">
          <cell r="B52" t="str">
            <v>ITOT-EBAT</v>
          </cell>
          <cell r="C52" t="str">
            <v>VAR_ncap</v>
          </cell>
          <cell r="D52" t="str">
            <v>-</v>
          </cell>
          <cell r="I52">
            <v>3.9881408701254402E-2</v>
          </cell>
          <cell r="J52">
            <v>4.2744773770564397E-2</v>
          </cell>
          <cell r="K52">
            <v>7.2166778405477403E-2</v>
          </cell>
        </row>
        <row r="53">
          <cell r="B53" t="str">
            <v>ITOT-EBAT</v>
          </cell>
          <cell r="C53" t="str">
            <v>VAR_cap</v>
          </cell>
          <cell r="D53" t="str">
            <v>-</v>
          </cell>
          <cell r="I53">
            <v>7.6388921745891153E-2</v>
          </cell>
          <cell r="J53">
            <v>8.2794441813387312E-2</v>
          </cell>
          <cell r="K53">
            <v>0.100602202908135</v>
          </cell>
        </row>
        <row r="54">
          <cell r="B54" t="str">
            <v>D-RES_LTH</v>
          </cell>
          <cell r="C54" t="str">
            <v>VAR_fout</v>
          </cell>
          <cell r="D54" t="str">
            <v>RHNS_LTH_DH</v>
          </cell>
          <cell r="I54">
            <v>9.451408286941184E-3</v>
          </cell>
          <cell r="J54">
            <v>1.1403827214798453E-2</v>
          </cell>
          <cell r="K54">
            <v>1.4095196733192457E-2</v>
          </cell>
        </row>
        <row r="55">
          <cell r="B55" t="str">
            <v>D-RES_LTH</v>
          </cell>
          <cell r="C55" t="str">
            <v>VAR_fout</v>
          </cell>
          <cell r="D55" t="str">
            <v>RHEM_LTH_DH</v>
          </cell>
          <cell r="I55">
            <v>5.5901872588490296</v>
          </cell>
          <cell r="J55">
            <v>5.6305463778301394</v>
          </cell>
          <cell r="K55">
            <v>5.6986072717559955</v>
          </cell>
        </row>
        <row r="56">
          <cell r="B56" t="str">
            <v>D-RES_LTH</v>
          </cell>
          <cell r="C56" t="str">
            <v>VAR_fout</v>
          </cell>
          <cell r="D56" t="str">
            <v>RHES_LTH_DH</v>
          </cell>
          <cell r="I56">
            <v>1.8590874976885687</v>
          </cell>
          <cell r="J56">
            <v>1.8812020489423527</v>
          </cell>
          <cell r="K56">
            <v>1.9165469142371869</v>
          </cell>
        </row>
        <row r="57">
          <cell r="B57" t="str">
            <v>D-RES_LTH</v>
          </cell>
          <cell r="C57" t="str">
            <v>VAR_fout</v>
          </cell>
          <cell r="D57" t="str">
            <v>RHSA_LTH</v>
          </cell>
          <cell r="I57">
            <v>0.2914642975833121</v>
          </cell>
          <cell r="J57">
            <v>0.25191320716002152</v>
          </cell>
          <cell r="K57">
            <v>1.0035699386095305</v>
          </cell>
        </row>
        <row r="58">
          <cell r="B58" t="str">
            <v>D-RES_LTH</v>
          </cell>
          <cell r="C58" t="str">
            <v>VAR_fout</v>
          </cell>
          <cell r="D58" t="str">
            <v>RHNM_LTH_DH</v>
          </cell>
          <cell r="I58">
            <v>0.16560633985251541</v>
          </cell>
          <cell r="J58">
            <v>0.1965331157589281</v>
          </cell>
          <cell r="K58">
            <v>0.24846645048365507</v>
          </cell>
        </row>
        <row r="59">
          <cell r="B59" t="str">
            <v>D-RES_LTH</v>
          </cell>
          <cell r="C59" t="str">
            <v>VAR_fin</v>
          </cell>
          <cell r="D59" t="str">
            <v>LTH</v>
          </cell>
          <cell r="I59">
            <v>8.6661536042691338</v>
          </cell>
          <cell r="J59">
            <v>8.6952811573046613</v>
          </cell>
          <cell r="K59">
            <v>9.6171073503530362</v>
          </cell>
        </row>
        <row r="60">
          <cell r="B60" t="str">
            <v>D-RES_LTH</v>
          </cell>
          <cell r="C60" t="str">
            <v>VAR_ncap</v>
          </cell>
          <cell r="D60" t="str">
            <v>-</v>
          </cell>
          <cell r="I60">
            <v>1.0261129336012899E-8</v>
          </cell>
          <cell r="J60">
            <v>1.40453318339544E-8</v>
          </cell>
          <cell r="K60">
            <v>2.2930079354203899E-8</v>
          </cell>
        </row>
        <row r="61">
          <cell r="B61" t="str">
            <v>D-RES_LTH</v>
          </cell>
          <cell r="C61" t="str">
            <v>VAR_cap</v>
          </cell>
          <cell r="D61" t="str">
            <v>-</v>
          </cell>
          <cell r="I61">
            <v>0.62767213855791903</v>
          </cell>
          <cell r="J61">
            <v>0.62767215260325104</v>
          </cell>
          <cell r="K61">
            <v>0.62767217553332999</v>
          </cell>
        </row>
        <row r="62">
          <cell r="B62" t="str">
            <v>RHES-SHSTG-CHPNGA</v>
          </cell>
          <cell r="C62" t="str">
            <v>VAR_fout</v>
          </cell>
          <cell r="D62" t="str">
            <v>RHES_LTH_CHPNGA</v>
          </cell>
          <cell r="I62">
            <v>8.3144575085091384E-3</v>
          </cell>
          <cell r="J62">
            <v>7.6425128140616486E-3</v>
          </cell>
          <cell r="K62">
            <v>7.6024726395580201E-4</v>
          </cell>
        </row>
        <row r="63">
          <cell r="B63" t="str">
            <v>RHES-SHSTG-CHPNGA</v>
          </cell>
          <cell r="C63" t="str">
            <v>VAR_fout</v>
          </cell>
          <cell r="D63" t="str">
            <v>AUX_RES_CHPNGA_OUT</v>
          </cell>
          <cell r="I63">
            <v>8.3068225613020692E-3</v>
          </cell>
          <cell r="J63">
            <v>7.6425128140616781E-3</v>
          </cell>
          <cell r="K63">
            <v>7.6024726395580266E-4</v>
          </cell>
        </row>
        <row r="64">
          <cell r="B64" t="str">
            <v>RHES-SHSTG-CHPNGA</v>
          </cell>
          <cell r="C64" t="str">
            <v>VAR_fin</v>
          </cell>
          <cell r="D64" t="str">
            <v>RHES_LTH_CHPNGA</v>
          </cell>
          <cell r="I64">
            <v>1.0076363446417146E-2</v>
          </cell>
          <cell r="J64">
            <v>8.9911915459548013E-3</v>
          </cell>
          <cell r="K64">
            <v>8.4471918217308788E-4</v>
          </cell>
        </row>
        <row r="65">
          <cell r="B65" t="str">
            <v>RHES-SHSTG-CHPNGA</v>
          </cell>
          <cell r="C65" t="str">
            <v>VAR_fin</v>
          </cell>
          <cell r="D65" t="str">
            <v>AUX_RES_CHPNGA_IN</v>
          </cell>
          <cell r="I65">
            <v>1.0076363446417146E-2</v>
          </cell>
          <cell r="J65">
            <v>8.9911915459548013E-3</v>
          </cell>
          <cell r="K65">
            <v>8.4471918217308788E-4</v>
          </cell>
        </row>
        <row r="66">
          <cell r="B66" t="str">
            <v>RHES-SHSTG-CHPNGA</v>
          </cell>
          <cell r="C66" t="str">
            <v>VAR_ncap</v>
          </cell>
          <cell r="D66" t="str">
            <v>-</v>
          </cell>
          <cell r="I66">
            <v>3.9509789847149199E-4</v>
          </cell>
          <cell r="J66">
            <v>5.2717404300990002E-5</v>
          </cell>
          <cell r="K66">
            <v>1.08312626885698E-5</v>
          </cell>
        </row>
        <row r="67">
          <cell r="B67" t="str">
            <v>RHES-SHSTG-CHPNGA</v>
          </cell>
          <cell r="C67" t="str">
            <v>VAR_cap</v>
          </cell>
          <cell r="D67" t="str">
            <v>-</v>
          </cell>
          <cell r="I67">
            <v>5.5379723777876973E-4</v>
          </cell>
          <cell r="J67">
            <v>4.9075077524306546E-4</v>
          </cell>
          <cell r="K67">
            <v>2.1350200464874592E-4</v>
          </cell>
        </row>
        <row r="68">
          <cell r="B68" t="str">
            <v>RHNS-CHPWOD</v>
          </cell>
          <cell r="C68" t="str">
            <v>VAR_fout</v>
          </cell>
          <cell r="D68" t="str">
            <v>RHNS_LTH_CHPWOD</v>
          </cell>
          <cell r="I68">
            <v>3.1640574560672427E-4</v>
          </cell>
          <cell r="J68">
            <v>1.9830101287013157E-4</v>
          </cell>
          <cell r="K68">
            <v>2.7876383194588134E-4</v>
          </cell>
        </row>
        <row r="69">
          <cell r="B69" t="str">
            <v>RHNS-CHPWOD</v>
          </cell>
          <cell r="C69" t="str">
            <v>VAR_fout</v>
          </cell>
          <cell r="D69" t="str">
            <v>RHNS_KEV_WOD_ELC_CHP</v>
          </cell>
          <cell r="I69">
            <v>1.1967877585873247E-4</v>
          </cell>
          <cell r="J69">
            <v>7.6622809259020336E-5</v>
          </cell>
          <cell r="K69">
            <v>1.1216432285194307E-4</v>
          </cell>
        </row>
        <row r="70">
          <cell r="B70" t="str">
            <v>RHNS-CHPWOD</v>
          </cell>
          <cell r="C70" t="str">
            <v>VAR_fin</v>
          </cell>
          <cell r="D70" t="str">
            <v>RWOD</v>
          </cell>
          <cell r="I70">
            <v>5.768136577256512E-4</v>
          </cell>
          <cell r="J70">
            <v>3.4541342879102914E-4</v>
          </cell>
          <cell r="K70">
            <v>5.4143989457478903E-4</v>
          </cell>
        </row>
        <row r="71">
          <cell r="B71" t="str">
            <v>RHNS-CHPWOD</v>
          </cell>
          <cell r="C71" t="str">
            <v>VAR_ncap</v>
          </cell>
          <cell r="D71" t="str">
            <v>-</v>
          </cell>
          <cell r="I71">
            <v>2.9696344587415102E-6</v>
          </cell>
          <cell r="J71">
            <v>4.2590968151991298E-8</v>
          </cell>
          <cell r="K71">
            <v>8.6828570073674504E-6</v>
          </cell>
        </row>
        <row r="72">
          <cell r="B72" t="str">
            <v>RHNS-CHPWOD</v>
          </cell>
          <cell r="C72" t="str">
            <v>VAR_cap</v>
          </cell>
          <cell r="D72" t="str">
            <v>-</v>
          </cell>
          <cell r="I72">
            <v>1.06378740057116E-5</v>
          </cell>
          <cell r="J72">
            <v>8.240800972042414E-6</v>
          </cell>
          <cell r="K72">
            <v>9.9699061932623396E-6</v>
          </cell>
        </row>
        <row r="73">
          <cell r="B73" t="str">
            <v>D-ICOA</v>
          </cell>
          <cell r="C73" t="str">
            <v>VAR_fout</v>
          </cell>
          <cell r="D73" t="str">
            <v>ICOA</v>
          </cell>
          <cell r="I73">
            <v>1.8364065412240321E-4</v>
          </cell>
          <cell r="J73">
            <v>7.596573910203059E-5</v>
          </cell>
          <cell r="K73">
            <v>2.8280544849642935E-4</v>
          </cell>
        </row>
        <row r="74">
          <cell r="B74" t="str">
            <v>D-ICOA</v>
          </cell>
          <cell r="C74" t="str">
            <v>VAR_fout</v>
          </cell>
          <cell r="D74" t="str">
            <v>CO2</v>
          </cell>
          <cell r="I74">
            <v>1.70234886371468E-2</v>
          </cell>
          <cell r="J74">
            <v>7.0420240147582398E-3</v>
          </cell>
          <cell r="K74">
            <v>2.6216065075619001E-2</v>
          </cell>
        </row>
        <row r="75">
          <cell r="B75" t="str">
            <v>D-ICOA</v>
          </cell>
          <cell r="C75" t="str">
            <v>VAR_fin</v>
          </cell>
          <cell r="D75" t="str">
            <v>COA</v>
          </cell>
          <cell r="I75">
            <v>1.8364065412240321E-4</v>
          </cell>
          <cell r="J75">
            <v>7.596573910203059E-5</v>
          </cell>
          <cell r="K75">
            <v>2.8280544849642935E-4</v>
          </cell>
        </row>
        <row r="76">
          <cell r="B76" t="str">
            <v>RHNM-SHSTG-CHPWOD</v>
          </cell>
          <cell r="C76" t="str">
            <v>VAR_fout</v>
          </cell>
          <cell r="D76" t="str">
            <v>RHNM_LTH_CHPWOD</v>
          </cell>
          <cell r="I76">
            <v>7.1210169011354837E-4</v>
          </cell>
          <cell r="J76">
            <v>6.8903328497188303E-4</v>
          </cell>
          <cell r="K76">
            <v>7.8859344922352858E-4</v>
          </cell>
        </row>
        <row r="77">
          <cell r="B77" t="str">
            <v>RHNM-SHSTG-CHPWOD</v>
          </cell>
          <cell r="C77" t="str">
            <v>VAR_fout</v>
          </cell>
          <cell r="D77" t="str">
            <v>AUX_RNM-CHPWOD_OUT</v>
          </cell>
          <cell r="I77">
            <v>7.1144778589856891E-4</v>
          </cell>
          <cell r="J77">
            <v>6.8903328497188542E-4</v>
          </cell>
          <cell r="K77">
            <v>7.8859344922352934E-4</v>
          </cell>
        </row>
        <row r="78">
          <cell r="B78" t="str">
            <v>RHNM-SHSTG-CHPWOD</v>
          </cell>
          <cell r="C78" t="str">
            <v>VAR_fin</v>
          </cell>
          <cell r="D78" t="str">
            <v>RHNM_LTH_CHPWOD</v>
          </cell>
          <cell r="I78">
            <v>8.6138669684647994E-4</v>
          </cell>
          <cell r="J78">
            <v>8.1062739408419861E-4</v>
          </cell>
          <cell r="K78">
            <v>8.7621494358151126E-4</v>
          </cell>
        </row>
        <row r="79">
          <cell r="B79" t="str">
            <v>RHNM-SHSTG-CHPWOD</v>
          </cell>
          <cell r="C79" t="str">
            <v>VAR_fin</v>
          </cell>
          <cell r="D79" t="str">
            <v>AUX_RNM-CHPWOD_IN</v>
          </cell>
          <cell r="I79">
            <v>8.6138669684647994E-4</v>
          </cell>
          <cell r="J79">
            <v>8.1062739408419861E-4</v>
          </cell>
          <cell r="K79">
            <v>8.7621494358151126E-4</v>
          </cell>
        </row>
        <row r="80">
          <cell r="B80" t="str">
            <v>RHNM-SHSTG-CHPWOD</v>
          </cell>
          <cell r="C80" t="str">
            <v>VAR_ncap</v>
          </cell>
          <cell r="D80" t="str">
            <v>-</v>
          </cell>
          <cell r="I80">
            <v>3.9690080453432002E-4</v>
          </cell>
          <cell r="J80">
            <v>3.39471041618087E-5</v>
          </cell>
          <cell r="K80">
            <v>6.9616711116143501E-5</v>
          </cell>
        </row>
        <row r="81">
          <cell r="B81" t="str">
            <v>RHNM-SHSTG-CHPWOD</v>
          </cell>
          <cell r="C81" t="str">
            <v>VAR_cap</v>
          </cell>
          <cell r="D81" t="str">
            <v>-</v>
          </cell>
          <cell r="I81">
            <v>4.994363039616934E-4</v>
          </cell>
          <cell r="J81">
            <v>4.3451133323517893E-4</v>
          </cell>
          <cell r="K81">
            <v>2.5965348209866539E-4</v>
          </cell>
        </row>
        <row r="82">
          <cell r="B82" t="str">
            <v>ENGA-CCS</v>
          </cell>
          <cell r="C82" t="str">
            <v>VAR_fout</v>
          </cell>
          <cell r="D82" t="str">
            <v>CO2_E</v>
          </cell>
          <cell r="J82">
            <v>1.19079296828711E-3</v>
          </cell>
          <cell r="K82">
            <v>3.6902358319869199E-3</v>
          </cell>
        </row>
        <row r="83">
          <cell r="B83" t="str">
            <v>ENGA-CCS</v>
          </cell>
          <cell r="C83" t="str">
            <v>VAR_fin</v>
          </cell>
          <cell r="D83" t="str">
            <v>ENGA</v>
          </cell>
          <cell r="J83">
            <v>2.1113350501544508E-5</v>
          </cell>
          <cell r="K83">
            <v>6.5429713333101395E-5</v>
          </cell>
        </row>
        <row r="84">
          <cell r="B84" t="str">
            <v>RHNS-CHPGFC</v>
          </cell>
          <cell r="C84" t="str">
            <v>VAR_fout</v>
          </cell>
          <cell r="D84" t="str">
            <v>CO2_R</v>
          </cell>
          <cell r="I84">
            <v>7.1854408375363298E-3</v>
          </cell>
          <cell r="J84">
            <v>7.5002830925762001E-3</v>
          </cell>
          <cell r="K84">
            <v>6.3743716259469802E-3</v>
          </cell>
        </row>
        <row r="85">
          <cell r="B85" t="str">
            <v>RHNS-CHPGFC</v>
          </cell>
          <cell r="C85" t="str">
            <v>VAR_fout</v>
          </cell>
          <cell r="D85" t="str">
            <v>RHNS_LTH_CHPNGA</v>
          </cell>
          <cell r="I85">
            <v>5.9713051782859463E-5</v>
          </cell>
          <cell r="J85">
            <v>6.2023617630807499E-5</v>
          </cell>
          <cell r="K85">
            <v>5.0859348079364196E-5</v>
          </cell>
        </row>
        <row r="86">
          <cell r="B86" t="str">
            <v>RHNS-CHPGFC</v>
          </cell>
          <cell r="C86" t="str">
            <v>VAR_fout</v>
          </cell>
          <cell r="D86" t="str">
            <v>RHNS_NKEV_GAS_ELC_CHP</v>
          </cell>
          <cell r="I86">
            <v>5.4782616314550005E-5</v>
          </cell>
          <cell r="J86">
            <v>5.8512846821516472E-5</v>
          </cell>
          <cell r="K86">
            <v>5.0859348079364196E-5</v>
          </cell>
        </row>
        <row r="87">
          <cell r="B87" t="str">
            <v>RHNS-CHPGFC</v>
          </cell>
          <cell r="C87" t="str">
            <v>VAR_fin</v>
          </cell>
          <cell r="D87" t="str">
            <v>RNGA</v>
          </cell>
          <cell r="I87">
            <v>1.2740143328965122E-4</v>
          </cell>
          <cell r="J87">
            <v>1.329837427761738E-4</v>
          </cell>
          <cell r="K87">
            <v>1.1302077350969821E-4</v>
          </cell>
        </row>
        <row r="88">
          <cell r="B88" t="str">
            <v>RHNS-CHPGFC</v>
          </cell>
          <cell r="C88" t="str">
            <v>VAR_ncap</v>
          </cell>
          <cell r="D88" t="str">
            <v>-</v>
          </cell>
          <cell r="I88">
            <v>3.1384097817112198E-6</v>
          </cell>
          <cell r="J88">
            <v>3.29470152369168E-7</v>
          </cell>
          <cell r="K88">
            <v>1.2087001300985099E-6</v>
          </cell>
        </row>
        <row r="89">
          <cell r="B89" t="str">
            <v>RHNS-CHPGFC</v>
          </cell>
          <cell r="C89" t="str">
            <v>VAR_cap</v>
          </cell>
          <cell r="D89" t="str">
            <v>-</v>
          </cell>
          <cell r="I89">
            <v>4.8315891532705503E-6</v>
          </cell>
          <cell r="J89">
            <v>5.1610593056397103E-6</v>
          </cell>
          <cell r="K89">
            <v>4.476332837354525E-6</v>
          </cell>
        </row>
        <row r="90">
          <cell r="B90" t="str">
            <v>D-ENGA</v>
          </cell>
          <cell r="C90" t="str">
            <v>VAR_fout</v>
          </cell>
          <cell r="D90" t="str">
            <v>CO2</v>
          </cell>
          <cell r="I90">
            <v>155.60066578712201</v>
          </cell>
          <cell r="J90">
            <v>180.554599914666</v>
          </cell>
          <cell r="K90">
            <v>710.64764493176096</v>
          </cell>
        </row>
        <row r="91">
          <cell r="B91" t="str">
            <v>D-ENGA</v>
          </cell>
          <cell r="C91" t="str">
            <v>VAR_fout</v>
          </cell>
          <cell r="D91" t="str">
            <v>ENGA</v>
          </cell>
          <cell r="I91">
            <v>2.8233634640800891</v>
          </cell>
          <cell r="J91">
            <v>3.2643995376223351</v>
          </cell>
          <cell r="K91">
            <v>12.63328307654964</v>
          </cell>
        </row>
        <row r="92">
          <cell r="B92" t="str">
            <v>D-ENGA</v>
          </cell>
          <cell r="C92" t="str">
            <v>VAR_fin</v>
          </cell>
          <cell r="D92" t="str">
            <v>NGA</v>
          </cell>
          <cell r="I92">
            <v>2.7588770529631543</v>
          </cell>
          <cell r="J92">
            <v>3.2013226935224508</v>
          </cell>
          <cell r="K92">
            <v>12.600135548435484</v>
          </cell>
        </row>
        <row r="93">
          <cell r="B93" t="str">
            <v>D-ENGA</v>
          </cell>
          <cell r="C93" t="str">
            <v>VAR_fin</v>
          </cell>
          <cell r="D93" t="str">
            <v>BNGA</v>
          </cell>
          <cell r="I93">
            <v>7.3507551383231076E-2</v>
          </cell>
          <cell r="J93">
            <v>7.3506926845758769E-2</v>
          </cell>
          <cell r="K93">
            <v>7.3507629731767055E-2</v>
          </cell>
        </row>
        <row r="94">
          <cell r="B94" t="str">
            <v>D-ENGA</v>
          </cell>
          <cell r="C94" t="str">
            <v>VAR_ncap</v>
          </cell>
          <cell r="D94" t="str">
            <v>-</v>
          </cell>
          <cell r="I94">
            <v>1.18946763351182E-7</v>
          </cell>
          <cell r="J94">
            <v>1.7757218352640501E-7</v>
          </cell>
          <cell r="K94">
            <v>3.9150447016463498E-7</v>
          </cell>
        </row>
        <row r="95">
          <cell r="B95" t="str">
            <v>D-ENGA</v>
          </cell>
          <cell r="C95" t="str">
            <v>VAR_cap</v>
          </cell>
          <cell r="D95" t="str">
            <v>-</v>
          </cell>
          <cell r="I95">
            <v>1.0275124356152157</v>
          </cell>
          <cell r="J95">
            <v>1.0275126131873993</v>
          </cell>
          <cell r="K95">
            <v>0.72467769146564942</v>
          </cell>
        </row>
        <row r="96">
          <cell r="B96" t="str">
            <v>D-ILFO</v>
          </cell>
          <cell r="C96" t="str">
            <v>VAR_fout</v>
          </cell>
          <cell r="D96" t="str">
            <v>CO2</v>
          </cell>
          <cell r="I96">
            <v>431.732480603189</v>
          </cell>
          <cell r="J96">
            <v>266.45775755813497</v>
          </cell>
          <cell r="K96">
            <v>25.4445442518094</v>
          </cell>
        </row>
        <row r="97">
          <cell r="B97" t="str">
            <v>D-ILFO</v>
          </cell>
          <cell r="C97" t="str">
            <v>VAR_fout</v>
          </cell>
          <cell r="D97" t="str">
            <v>ILFO</v>
          </cell>
          <cell r="I97">
            <v>5.7603041335006058</v>
          </cell>
          <cell r="J97">
            <v>3.5552237047895496</v>
          </cell>
          <cell r="K97">
            <v>0.33964706912713727</v>
          </cell>
        </row>
        <row r="98">
          <cell r="B98" t="str">
            <v>D-ILFO</v>
          </cell>
          <cell r="C98" t="str">
            <v>VAR_fin</v>
          </cell>
          <cell r="D98" t="str">
            <v>LFO</v>
          </cell>
          <cell r="I98">
            <v>5.8579712429197954</v>
          </cell>
          <cell r="J98">
            <v>3.6154376873559686</v>
          </cell>
          <cell r="K98">
            <v>0.34524483381016835</v>
          </cell>
        </row>
        <row r="99">
          <cell r="B99" t="str">
            <v>D-ILFO</v>
          </cell>
          <cell r="C99" t="str">
            <v>VAR_fin</v>
          </cell>
          <cell r="D99" t="str">
            <v>BDS</v>
          </cell>
          <cell r="I99">
            <v>1.7086472271224892E-4</v>
          </cell>
          <cell r="J99">
            <v>1.7107120775942527E-4</v>
          </cell>
          <cell r="K99">
            <v>1.7117915497772977E-4</v>
          </cell>
        </row>
        <row r="100">
          <cell r="B100" t="str">
            <v>HPLNGA</v>
          </cell>
          <cell r="C100" t="str">
            <v>VAR_fout</v>
          </cell>
          <cell r="D100" t="str">
            <v>LTH</v>
          </cell>
          <cell r="I100">
            <v>2.405538322419988</v>
          </cell>
          <cell r="J100">
            <v>2.7737960317643213</v>
          </cell>
          <cell r="K100">
            <v>1.5757152652349358</v>
          </cell>
        </row>
        <row r="101">
          <cell r="B101" t="str">
            <v>HPLNGA</v>
          </cell>
          <cell r="C101" t="str">
            <v>VAR_fout</v>
          </cell>
          <cell r="D101" t="str">
            <v>CO2_E</v>
          </cell>
          <cell r="I101">
            <v>158.782334494157</v>
          </cell>
          <cell r="J101">
            <v>183.08991597817999</v>
          </cell>
          <cell r="K101">
            <v>104.008215533388</v>
          </cell>
        </row>
        <row r="102">
          <cell r="B102" t="str">
            <v>HPLNGA</v>
          </cell>
          <cell r="C102" t="str">
            <v>VAR_fin</v>
          </cell>
          <cell r="D102" t="str">
            <v>ENGA</v>
          </cell>
          <cell r="I102">
            <v>2.815289618690735</v>
          </cell>
          <cell r="J102">
            <v>3.2462751059961037</v>
          </cell>
          <cell r="K102">
            <v>1.8441172966912833</v>
          </cell>
        </row>
        <row r="103">
          <cell r="B103" t="str">
            <v>HPLNGA</v>
          </cell>
          <cell r="C103" t="str">
            <v>VAR_ncap</v>
          </cell>
          <cell r="D103" t="str">
            <v>-</v>
          </cell>
          <cell r="I103">
            <v>0.30510758096991702</v>
          </cell>
          <cell r="J103">
            <v>4.6709070347426197E-2</v>
          </cell>
          <cell r="K103">
            <v>3.0197558622378302E-7</v>
          </cell>
        </row>
        <row r="104">
          <cell r="B104" t="str">
            <v>HPLNGA</v>
          </cell>
          <cell r="C104" t="str">
            <v>VAR_cap</v>
          </cell>
          <cell r="D104" t="str">
            <v>-</v>
          </cell>
          <cell r="I104">
            <v>0.30511624383593217</v>
          </cell>
          <cell r="J104">
            <v>0.35182576090371315</v>
          </cell>
          <cell r="K104">
            <v>0.24041672268144432</v>
          </cell>
        </row>
        <row r="105">
          <cell r="B105" t="str">
            <v>G-INTC-IMP00-AT</v>
          </cell>
          <cell r="C105" t="str">
            <v>VAR_fout</v>
          </cell>
          <cell r="D105" t="str">
            <v>ELC</v>
          </cell>
          <cell r="I105">
            <v>1.3656479585206398E-3</v>
          </cell>
          <cell r="J105">
            <v>9.7275813411647931E-4</v>
          </cell>
          <cell r="K105">
            <v>4.2389488297041642E-4</v>
          </cell>
        </row>
        <row r="106">
          <cell r="B106" t="str">
            <v>G-INTC-IMP00-AT</v>
          </cell>
          <cell r="C106" t="str">
            <v>VAR_fin</v>
          </cell>
          <cell r="D106" t="str">
            <v>ELC_I-AT</v>
          </cell>
          <cell r="I106">
            <v>1.3656479585206398E-3</v>
          </cell>
          <cell r="J106">
            <v>9.7275813411647931E-4</v>
          </cell>
          <cell r="K106">
            <v>4.2389488297041642E-4</v>
          </cell>
        </row>
        <row r="107">
          <cell r="B107" t="str">
            <v>G-INTC-IMP00-AT</v>
          </cell>
          <cell r="C107" t="str">
            <v>VAR_ncap</v>
          </cell>
          <cell r="D107" t="str">
            <v>-</v>
          </cell>
          <cell r="I107">
            <v>9.1430948114033905E-8</v>
          </cell>
          <cell r="J107">
            <v>1.3991271524838099E-7</v>
          </cell>
          <cell r="K107">
            <v>2.37579395073816E-7</v>
          </cell>
        </row>
        <row r="108">
          <cell r="B108" t="str">
            <v>G-INTC-IMP00-AT</v>
          </cell>
          <cell r="C108" t="str">
            <v>VAR_cap</v>
          </cell>
          <cell r="D108" t="str">
            <v>-</v>
          </cell>
          <cell r="I108">
            <v>1.3718635243509247E-4</v>
          </cell>
          <cell r="J108">
            <v>1.3688364099495587E-4</v>
          </cell>
          <cell r="K108">
            <v>1.3679012531064849E-4</v>
          </cell>
        </row>
        <row r="109">
          <cell r="B109" t="str">
            <v>CHPWST</v>
          </cell>
          <cell r="C109" t="str">
            <v>VAR_fout</v>
          </cell>
          <cell r="D109" t="str">
            <v>ELC35</v>
          </cell>
          <cell r="I109">
            <v>1.2798571297272638</v>
          </cell>
          <cell r="J109">
            <v>1.2826613630824113</v>
          </cell>
          <cell r="K109">
            <v>1.2865770977883306</v>
          </cell>
        </row>
        <row r="110">
          <cell r="B110" t="str">
            <v>CHPWST</v>
          </cell>
          <cell r="C110" t="str">
            <v>VAR_fout</v>
          </cell>
          <cell r="D110" t="str">
            <v>LTH</v>
          </cell>
          <cell r="I110">
            <v>12.342947729491375</v>
          </cell>
          <cell r="J110">
            <v>12.034787737752353</v>
          </cell>
          <cell r="K110">
            <v>11.399073086404607</v>
          </cell>
        </row>
        <row r="111">
          <cell r="B111" t="str">
            <v>CHPWST</v>
          </cell>
          <cell r="C111" t="str">
            <v>VAR_fout</v>
          </cell>
          <cell r="D111" t="str">
            <v>CO2_E</v>
          </cell>
          <cell r="I111">
            <v>2535.93178276257</v>
          </cell>
          <cell r="J111">
            <v>2541.4881408328802</v>
          </cell>
          <cell r="K111">
            <v>2549.24684753768</v>
          </cell>
        </row>
        <row r="112">
          <cell r="B112" t="str">
            <v>CHPWST</v>
          </cell>
          <cell r="C112" t="str">
            <v>VAR_fin</v>
          </cell>
          <cell r="D112" t="str">
            <v>EWST</v>
          </cell>
          <cell r="I112">
            <v>27.326851107355296</v>
          </cell>
          <cell r="J112">
            <v>27.386725655526725</v>
          </cell>
          <cell r="K112">
            <v>27.470332408811252</v>
          </cell>
        </row>
        <row r="113">
          <cell r="B113" t="str">
            <v>CHPWST</v>
          </cell>
          <cell r="C113" t="str">
            <v>VAR_ncap</v>
          </cell>
          <cell r="D113" t="str">
            <v>-</v>
          </cell>
          <cell r="I113">
            <v>5.6586777351022603E-3</v>
          </cell>
          <cell r="J113">
            <v>1.9609019773940001E-2</v>
          </cell>
          <cell r="K113">
            <v>2.8457898600671799E-2</v>
          </cell>
        </row>
        <row r="114">
          <cell r="B114" t="str">
            <v>CHPWST</v>
          </cell>
          <cell r="C114" t="str">
            <v>VAR_cap</v>
          </cell>
          <cell r="D114" t="str">
            <v>-</v>
          </cell>
          <cell r="I114">
            <v>6.9925858818989314E-2</v>
          </cell>
          <cell r="J114">
            <v>7.0079076935226206E-2</v>
          </cell>
          <cell r="K114">
            <v>7.029301392751354E-2</v>
          </cell>
        </row>
        <row r="115">
          <cell r="B115" t="str">
            <v>RHES-CHPNGA</v>
          </cell>
          <cell r="C115" t="str">
            <v>VAR_fout</v>
          </cell>
          <cell r="D115" t="str">
            <v>CO2_R</v>
          </cell>
          <cell r="I115">
            <v>0.91398388368760197</v>
          </cell>
          <cell r="J115">
            <v>0.31561177110410199</v>
          </cell>
          <cell r="K115">
            <v>4.5479671743363002E-2</v>
          </cell>
        </row>
        <row r="116">
          <cell r="B116" t="str">
            <v>RHES-CHPNGA</v>
          </cell>
          <cell r="C116" t="str">
            <v>VAR_fout</v>
          </cell>
          <cell r="D116" t="str">
            <v>RHES_NKEV_GAS_ELC_CHP</v>
          </cell>
          <cell r="I116">
            <v>4.426117306205412E-3</v>
          </cell>
          <cell r="J116">
            <v>1.4815473205970625E-3</v>
          </cell>
          <cell r="K116">
            <v>1.7084039835173849E-4</v>
          </cell>
        </row>
        <row r="117">
          <cell r="B117" t="str">
            <v>RHES-CHPNGA</v>
          </cell>
          <cell r="C117" t="str">
            <v>VAR_fout</v>
          </cell>
          <cell r="D117" t="str">
            <v>RHES_LTH_CHPNGA</v>
          </cell>
          <cell r="I117">
            <v>1.002809535040023E-2</v>
          </cell>
          <cell r="J117">
            <v>3.3269834567793695E-3</v>
          </cell>
          <cell r="K117">
            <v>3.7113603779860473E-4</v>
          </cell>
        </row>
        <row r="118">
          <cell r="B118" t="str">
            <v>RHES-CHPNGA</v>
          </cell>
          <cell r="C118" t="str">
            <v>VAR_fin</v>
          </cell>
          <cell r="D118" t="str">
            <v>RNGA</v>
          </cell>
          <cell r="I118">
            <v>1.6205388008645419E-2</v>
          </cell>
          <cell r="J118">
            <v>5.595953388370602E-3</v>
          </cell>
          <cell r="K118">
            <v>8.0637715857026569E-4</v>
          </cell>
        </row>
        <row r="119">
          <cell r="B119" t="str">
            <v>RHES-CHPNGA</v>
          </cell>
          <cell r="C119" t="str">
            <v>VAR_ncap</v>
          </cell>
          <cell r="D119" t="str">
            <v>-</v>
          </cell>
          <cell r="I119">
            <v>3.8876412623950001E-6</v>
          </cell>
          <cell r="J119">
            <v>4.5320849155587603E-6</v>
          </cell>
          <cell r="K119">
            <v>7.5395605591019196E-6</v>
          </cell>
        </row>
        <row r="120">
          <cell r="B120" t="str">
            <v>RHES-CHPNGA</v>
          </cell>
          <cell r="C120" t="str">
            <v>VAR_cap</v>
          </cell>
          <cell r="D120" t="str">
            <v>-</v>
          </cell>
          <cell r="I120">
            <v>3.9343127605342889E-4</v>
          </cell>
          <cell r="J120">
            <v>1.3168436145843721E-4</v>
          </cell>
          <cell r="K120">
            <v>1.51763751121408E-5</v>
          </cell>
        </row>
        <row r="121">
          <cell r="B121" t="str">
            <v>RHEM-CHPWOD</v>
          </cell>
          <cell r="C121" t="str">
            <v>VAR_fout</v>
          </cell>
          <cell r="D121" t="str">
            <v>RHEM_KEV_WOD_ELC_CHP</v>
          </cell>
          <cell r="I121">
            <v>2.0977677079137954E-4</v>
          </cell>
          <cell r="J121">
            <v>1.053917527253454E-4</v>
          </cell>
          <cell r="K121">
            <v>2.3734942601201351E-4</v>
          </cell>
        </row>
        <row r="122">
          <cell r="B122" t="str">
            <v>RHEM-CHPWOD</v>
          </cell>
          <cell r="C122" t="str">
            <v>VAR_fout</v>
          </cell>
          <cell r="D122" t="str">
            <v>RHEM_LTH_CHPWOD</v>
          </cell>
          <cell r="I122">
            <v>5.5802687796721736E-4</v>
          </cell>
          <cell r="J122">
            <v>2.8035244567333292E-4</v>
          </cell>
          <cell r="K122">
            <v>6.3137285737185911E-4</v>
          </cell>
        </row>
        <row r="123">
          <cell r="B123" t="str">
            <v>RHEM-CHPWOD</v>
          </cell>
          <cell r="C123" t="str">
            <v>VAR_fin</v>
          </cell>
          <cell r="D123" t="str">
            <v>RWOD</v>
          </cell>
          <cell r="I123">
            <v>8.7633231449289338E-4</v>
          </cell>
          <cell r="J123">
            <v>4.3210779790864268E-4</v>
          </cell>
          <cell r="K123">
            <v>9.4959134617739996E-4</v>
          </cell>
        </row>
        <row r="124">
          <cell r="B124" t="str">
            <v>RHEM-CHPWOD</v>
          </cell>
          <cell r="C124" t="str">
            <v>VAR_ncap</v>
          </cell>
          <cell r="D124" t="str">
            <v>-</v>
          </cell>
          <cell r="I124">
            <v>4.6878457775013797E-6</v>
          </cell>
          <cell r="J124">
            <v>7.7673239724202705E-8</v>
          </cell>
          <cell r="K124">
            <v>1.5578734496691901E-5</v>
          </cell>
        </row>
        <row r="125">
          <cell r="B125" t="str">
            <v>RHEM-CHPWOD</v>
          </cell>
          <cell r="C125" t="str">
            <v>VAR_cap</v>
          </cell>
          <cell r="D125" t="str">
            <v>-</v>
          </cell>
          <cell r="I125">
            <v>1.56463965882835E-5</v>
          </cell>
          <cell r="J125">
            <v>1.2233762438039395E-5</v>
          </cell>
          <cell r="K125">
            <v>1.7610432796513908E-5</v>
          </cell>
        </row>
        <row r="126">
          <cell r="B126" t="str">
            <v>ENUC_LRG_BEZ</v>
          </cell>
          <cell r="C126" t="str">
            <v>VAR_fout</v>
          </cell>
          <cell r="D126" t="str">
            <v>LTH</v>
          </cell>
          <cell r="J126"/>
          <cell r="K126">
            <v>1.3402202980246777E-3</v>
          </cell>
        </row>
        <row r="127">
          <cell r="B127" t="str">
            <v>ENUC_LRG_BEZ</v>
          </cell>
          <cell r="C127" t="str">
            <v>VAR_fout</v>
          </cell>
          <cell r="D127" t="str">
            <v>ELC</v>
          </cell>
          <cell r="J127"/>
          <cell r="K127">
            <v>7.9667409840339393E-3</v>
          </cell>
        </row>
        <row r="128">
          <cell r="B128" t="str">
            <v>ENUC_LRG_BEZ</v>
          </cell>
          <cell r="C128" t="str">
            <v>VAR_fin</v>
          </cell>
          <cell r="D128" t="str">
            <v>URN</v>
          </cell>
          <cell r="J128"/>
          <cell r="K128">
            <v>2.6690830694143023E-2</v>
          </cell>
        </row>
        <row r="129">
          <cell r="B129" t="str">
            <v>ENUC_LRG_BEZ</v>
          </cell>
          <cell r="C129" t="str">
            <v>VAR_ncap</v>
          </cell>
          <cell r="D129" t="str">
            <v>-</v>
          </cell>
          <cell r="J129">
            <v>2.26317315672383E-4</v>
          </cell>
          <cell r="K129">
            <v>7.4690523917955503E-4</v>
          </cell>
        </row>
        <row r="130">
          <cell r="B130" t="str">
            <v>ENUC_LRG_BEZ</v>
          </cell>
          <cell r="C130" t="str">
            <v>VAR_cap</v>
          </cell>
          <cell r="D130" t="str">
            <v>-</v>
          </cell>
          <cell r="J130"/>
          <cell r="K130">
            <v>3.00524942048487E-4</v>
          </cell>
        </row>
        <row r="131">
          <cell r="B131" t="str">
            <v>G-INTC-IMP00-FR</v>
          </cell>
          <cell r="C131" t="str">
            <v>VAR_fout</v>
          </cell>
          <cell r="D131" t="str">
            <v>ELC</v>
          </cell>
          <cell r="I131">
            <v>17.633225422575343</v>
          </cell>
          <cell r="J131">
            <v>10.574037009837278</v>
          </cell>
          <cell r="K131">
            <v>6.4895767217875022</v>
          </cell>
        </row>
        <row r="132">
          <cell r="B132" t="str">
            <v>G-INTC-IMP00-FR</v>
          </cell>
          <cell r="C132" t="str">
            <v>VAR_fin</v>
          </cell>
          <cell r="D132" t="str">
            <v>ELC_I-FR</v>
          </cell>
          <cell r="I132">
            <v>17.633225422575343</v>
          </cell>
          <cell r="J132">
            <v>10.574037009837278</v>
          </cell>
          <cell r="K132">
            <v>6.4895767217875022</v>
          </cell>
        </row>
        <row r="133">
          <cell r="B133" t="str">
            <v>G-INTC-IMP00-FR</v>
          </cell>
          <cell r="C133" t="str">
            <v>VAR_ncap</v>
          </cell>
          <cell r="D133" t="str">
            <v>-</v>
          </cell>
          <cell r="I133">
            <v>1.10682172714881E-7</v>
          </cell>
          <cell r="J133">
            <v>1.79851443340093E-7</v>
          </cell>
          <cell r="K133">
            <v>2.9565482259876801E-7</v>
          </cell>
        </row>
        <row r="134">
          <cell r="B134" t="str">
            <v>G-INTC-IMP00-FR</v>
          </cell>
          <cell r="C134" t="str">
            <v>VAR_cap</v>
          </cell>
          <cell r="D134" t="str">
            <v>-</v>
          </cell>
          <cell r="I134">
            <v>1.699985255074107</v>
          </cell>
          <cell r="J134">
            <v>1.1999999248068973</v>
          </cell>
          <cell r="K134">
            <v>1.1999939436793523</v>
          </cell>
        </row>
        <row r="135">
          <cell r="B135" t="str">
            <v>RHEM-CHPGFC</v>
          </cell>
          <cell r="C135" t="str">
            <v>VAR_fout</v>
          </cell>
          <cell r="D135" t="str">
            <v>CO2_R</v>
          </cell>
          <cell r="I135">
            <v>4.4702659668050801E-2</v>
          </cell>
          <cell r="J135">
            <v>6.5444566166362794E-2</v>
          </cell>
          <cell r="K135">
            <v>4.8673573983675299E-2</v>
          </cell>
        </row>
        <row r="136">
          <cell r="B136" t="str">
            <v>RHEM-CHPGFC</v>
          </cell>
          <cell r="C136" t="str">
            <v>VAR_fout</v>
          </cell>
          <cell r="D136" t="str">
            <v>RHEM_LTH_CHPNGA</v>
          </cell>
          <cell r="I136">
            <v>3.7149178344708178E-4</v>
          </cell>
          <cell r="J136">
            <v>5.4119407198566737E-4</v>
          </cell>
          <cell r="K136">
            <v>3.8835298391230228E-4</v>
          </cell>
        </row>
        <row r="137">
          <cell r="B137" t="str">
            <v>RHEM-CHPGFC</v>
          </cell>
          <cell r="C137" t="str">
            <v>VAR_fout</v>
          </cell>
          <cell r="D137" t="str">
            <v>RHEM_NKEV_GAS_ELC_CHP</v>
          </cell>
          <cell r="I137">
            <v>3.4081814995145116E-4</v>
          </cell>
          <cell r="J137">
            <v>5.1056044526949734E-4</v>
          </cell>
          <cell r="K137">
            <v>3.8835298391230228E-4</v>
          </cell>
        </row>
        <row r="138">
          <cell r="B138" t="str">
            <v>RHEM-CHPGFC</v>
          </cell>
          <cell r="C138" t="str">
            <v>VAR_fin</v>
          </cell>
          <cell r="D138" t="str">
            <v>RNGA</v>
          </cell>
          <cell r="I138">
            <v>7.9260034872430537E-4</v>
          </cell>
          <cell r="J138">
            <v>1.1603646483397663E-3</v>
          </cell>
          <cell r="K138">
            <v>8.6300663091622783E-4</v>
          </cell>
        </row>
        <row r="139">
          <cell r="B139" t="str">
            <v>RHEM-CHPGFC</v>
          </cell>
          <cell r="C139" t="str">
            <v>VAR_ncap</v>
          </cell>
          <cell r="D139" t="str">
            <v>-</v>
          </cell>
          <cell r="I139">
            <v>2.1392459400157799E-5</v>
          </cell>
          <cell r="J139">
            <v>1.50806204172051E-5</v>
          </cell>
          <cell r="K139">
            <v>7.6754419950608002E-8</v>
          </cell>
        </row>
        <row r="140">
          <cell r="B140" t="str">
            <v>RHEM-CHPGFC</v>
          </cell>
          <cell r="C140" t="str">
            <v>VAR_cap</v>
          </cell>
          <cell r="D140" t="str">
            <v>-</v>
          </cell>
          <cell r="I140">
            <v>3.0280089888618699E-5</v>
          </cell>
          <cell r="J140">
            <v>4.5360710305823802E-5</v>
          </cell>
          <cell r="K140">
            <v>3.449010255079883E-5</v>
          </cell>
        </row>
        <row r="141">
          <cell r="B141" t="str">
            <v>EHYD-RUNS10</v>
          </cell>
          <cell r="C141" t="str">
            <v>VAR_fout</v>
          </cell>
          <cell r="D141" t="str">
            <v>ELC35</v>
          </cell>
          <cell r="I141">
            <v>7.0098407851843913E-4</v>
          </cell>
          <cell r="J141">
            <v>7.5265843920629158E-4</v>
          </cell>
          <cell r="K141">
            <v>7.7463421105322954E-4</v>
          </cell>
        </row>
        <row r="142">
          <cell r="B142" t="str">
            <v>EHYD-RUNS10</v>
          </cell>
          <cell r="C142" t="str">
            <v>VAR_fin</v>
          </cell>
          <cell r="D142" t="str">
            <v>HYDR</v>
          </cell>
          <cell r="I142">
            <v>7.0098407851843913E-4</v>
          </cell>
          <cell r="J142">
            <v>7.5265843920629158E-4</v>
          </cell>
          <cell r="K142">
            <v>7.7463421105322954E-4</v>
          </cell>
        </row>
        <row r="143">
          <cell r="B143" t="str">
            <v>EHYD-RUNS10</v>
          </cell>
          <cell r="C143" t="str">
            <v>VAR_ncap</v>
          </cell>
          <cell r="D143" t="str">
            <v>-</v>
          </cell>
          <cell r="I143">
            <v>3.72555086589532E-8</v>
          </cell>
          <cell r="J143"/>
          <cell r="K143">
            <v>1.22382664799602E-8</v>
          </cell>
        </row>
        <row r="144">
          <cell r="B144" t="str">
            <v>EHYD-RUNS10</v>
          </cell>
          <cell r="C144" t="str">
            <v>VAR_cap</v>
          </cell>
          <cell r="D144" t="str">
            <v>-</v>
          </cell>
          <cell r="I144">
            <v>6.4437677227465899E-5</v>
          </cell>
          <cell r="J144">
            <v>6.4437677227465899E-5</v>
          </cell>
          <cell r="K144">
            <v>6.4449915493945903E-5</v>
          </cell>
        </row>
        <row r="145">
          <cell r="B145" t="str">
            <v>SUP_WSTBIO</v>
          </cell>
          <cell r="C145" t="str">
            <v>VAR_fout</v>
          </cell>
          <cell r="D145" t="str">
            <v>ELC35</v>
          </cell>
          <cell r="I145">
            <v>0.11582464200615063</v>
          </cell>
          <cell r="J145">
            <v>0.11260895096395032</v>
          </cell>
          <cell r="K145">
            <v>0.10618007908087655</v>
          </cell>
        </row>
        <row r="146">
          <cell r="B146" t="str">
            <v>SUP_WSTBIO</v>
          </cell>
          <cell r="C146" t="str">
            <v>VAR_fout</v>
          </cell>
          <cell r="D146" t="str">
            <v>BIO</v>
          </cell>
          <cell r="I146">
            <v>5.7912321003075373</v>
          </cell>
          <cell r="J146">
            <v>5.6304475481975098</v>
          </cell>
          <cell r="K146">
            <v>5.3090039540438276</v>
          </cell>
        </row>
        <row r="147">
          <cell r="B147" t="str">
            <v>SUP_WSTBIO</v>
          </cell>
          <cell r="C147" t="str">
            <v>VAR_fin</v>
          </cell>
          <cell r="D147" t="str">
            <v>CWST</v>
          </cell>
          <cell r="I147">
            <v>9.9576099370430597</v>
          </cell>
          <cell r="J147">
            <v>9.6811523843007485</v>
          </cell>
          <cell r="K147">
            <v>9.1284530844102161</v>
          </cell>
        </row>
        <row r="148">
          <cell r="B148" t="str">
            <v>SUP_WSTBIO</v>
          </cell>
          <cell r="C148" t="str">
            <v>VAR_ncap</v>
          </cell>
          <cell r="D148" t="str">
            <v>-</v>
          </cell>
          <cell r="I148">
            <v>0.116853926606914</v>
          </cell>
          <cell r="J148">
            <v>1.7779923987800698E-2</v>
          </cell>
          <cell r="K148">
            <v>7.0722843857581902E-2</v>
          </cell>
        </row>
        <row r="149">
          <cell r="B149" t="str">
            <v>SUP_WSTBIO</v>
          </cell>
          <cell r="C149" t="str">
            <v>VAR_cap</v>
          </cell>
          <cell r="D149" t="str">
            <v>-</v>
          </cell>
          <cell r="I149">
            <v>0.2187799028517651</v>
          </cell>
          <cell r="J149">
            <v>0.21270571674586988</v>
          </cell>
          <cell r="K149">
            <v>0.20056229029020525</v>
          </cell>
        </row>
        <row r="150">
          <cell r="B150" t="str">
            <v>ITOT-CHPNGACCS</v>
          </cell>
          <cell r="C150" t="str">
            <v>VAR_fout</v>
          </cell>
          <cell r="D150" t="str">
            <v>CO2_I</v>
          </cell>
          <cell r="J150">
            <v>1.10183138661087E-3</v>
          </cell>
          <cell r="K150">
            <v>2.3364101077896298E-3</v>
          </cell>
        </row>
        <row r="151">
          <cell r="B151" t="str">
            <v>ITOT-CHPNGACCS</v>
          </cell>
          <cell r="C151" t="str">
            <v>VAR_fin</v>
          </cell>
          <cell r="D151" t="str">
            <v>INGA</v>
          </cell>
          <cell r="J151">
            <v>1.9536017493100461E-5</v>
          </cell>
          <cell r="K151">
            <v>4.1425711131021789E-5</v>
          </cell>
        </row>
        <row r="152">
          <cell r="B152" t="str">
            <v>SCOM-ESOLPV</v>
          </cell>
          <cell r="C152" t="str">
            <v>VAR_fout</v>
          </cell>
          <cell r="D152" t="str">
            <v>SCOM_SOL_ELC</v>
          </cell>
          <cell r="I152">
            <v>11.285465388912652</v>
          </cell>
          <cell r="J152">
            <v>11.861137594039064</v>
          </cell>
          <cell r="K152">
            <v>13.102074956898365</v>
          </cell>
        </row>
        <row r="153">
          <cell r="B153" t="str">
            <v>SCOM-ESOLPV</v>
          </cell>
          <cell r="C153" t="str">
            <v>VAR_fin</v>
          </cell>
          <cell r="D153" t="str">
            <v>SOL</v>
          </cell>
          <cell r="I153">
            <v>11.285465388912652</v>
          </cell>
          <cell r="J153">
            <v>11.861137594039064</v>
          </cell>
          <cell r="K153">
            <v>13.102074956898365</v>
          </cell>
        </row>
        <row r="154">
          <cell r="B154" t="str">
            <v>SCOM-ESOLPV</v>
          </cell>
          <cell r="C154" t="str">
            <v>VAR_fin</v>
          </cell>
          <cell r="D154" t="str">
            <v>SOLPVC</v>
          </cell>
          <cell r="I154">
            <v>11.2854653889127</v>
          </cell>
          <cell r="J154">
            <v>11.8611375940391</v>
          </cell>
          <cell r="K154">
            <v>13.102074956898401</v>
          </cell>
        </row>
        <row r="155">
          <cell r="B155" t="str">
            <v>SCOM-ESOLPV</v>
          </cell>
          <cell r="C155" t="str">
            <v>VAR_ncap</v>
          </cell>
          <cell r="D155" t="str">
            <v>-</v>
          </cell>
          <cell r="I155">
            <v>0.62472374089152705</v>
          </cell>
          <cell r="J155">
            <v>0.57339982523409505</v>
          </cell>
          <cell r="K155">
            <v>2.70572908820108</v>
          </cell>
        </row>
        <row r="156">
          <cell r="B156" t="str">
            <v>SCOM-ESOLPV</v>
          </cell>
          <cell r="C156" t="str">
            <v>VAR_cap</v>
          </cell>
          <cell r="D156" t="str">
            <v>-</v>
          </cell>
          <cell r="I156">
            <v>3.253271239563579</v>
          </cell>
          <cell r="J156">
            <v>3.419220776560409</v>
          </cell>
          <cell r="K156">
            <v>3.7769464756921298</v>
          </cell>
        </row>
        <row r="157">
          <cell r="B157" t="str">
            <v>D-SCOM_LTH</v>
          </cell>
          <cell r="C157" t="str">
            <v>VAR_fout</v>
          </cell>
          <cell r="D157" t="str">
            <v>SCOM_LTH_DH</v>
          </cell>
          <cell r="I157">
            <v>7.6331252036777171</v>
          </cell>
          <cell r="J157">
            <v>7.976402177207234</v>
          </cell>
          <cell r="K157">
            <v>8.4877192592780926</v>
          </cell>
        </row>
        <row r="158">
          <cell r="B158" t="str">
            <v>D-SCOM_LTH</v>
          </cell>
          <cell r="C158" t="str">
            <v>VAR_fin</v>
          </cell>
          <cell r="D158" t="str">
            <v>LTH</v>
          </cell>
          <cell r="I158">
            <v>8.2818387911851747</v>
          </cell>
          <cell r="J158">
            <v>8.6486170056645921</v>
          </cell>
          <cell r="K158">
            <v>9.1909765622679558</v>
          </cell>
        </row>
        <row r="159">
          <cell r="B159" t="str">
            <v>D-SCOM_LTH</v>
          </cell>
          <cell r="C159" t="str">
            <v>VAR_ncap</v>
          </cell>
          <cell r="D159" t="str">
            <v>-</v>
          </cell>
          <cell r="J159">
            <v>1.35017725015688E-8</v>
          </cell>
          <cell r="K159">
            <v>2.36581092844661E-8</v>
          </cell>
        </row>
        <row r="160">
          <cell r="B160" t="str">
            <v>D-SCOM_LTH</v>
          </cell>
          <cell r="C160" t="str">
            <v>VAR_cap</v>
          </cell>
          <cell r="D160" t="str">
            <v>-</v>
          </cell>
          <cell r="I160">
            <v>0.84970022057793604</v>
          </cell>
          <cell r="J160">
            <v>0.84970023407970896</v>
          </cell>
          <cell r="K160">
            <v>0.84970025773781799</v>
          </cell>
        </row>
        <row r="161">
          <cell r="B161" t="str">
            <v>EHYD-RUNS15</v>
          </cell>
          <cell r="C161" t="str">
            <v>VAR_fout</v>
          </cell>
          <cell r="D161" t="str">
            <v>ELC35</v>
          </cell>
          <cell r="I161">
            <v>3.7194535002607452E-4</v>
          </cell>
          <cell r="J161">
            <v>4.7337576501664335E-4</v>
          </cell>
          <cell r="K161">
            <v>4.8269745798606371E-4</v>
          </cell>
        </row>
        <row r="162">
          <cell r="B162" t="str">
            <v>EHYD-RUNS15</v>
          </cell>
          <cell r="C162" t="str">
            <v>VAR_fin</v>
          </cell>
          <cell r="D162" t="str">
            <v>HYDR</v>
          </cell>
          <cell r="I162">
            <v>3.7194535002607452E-4</v>
          </cell>
          <cell r="J162">
            <v>4.7337576501664335E-4</v>
          </cell>
          <cell r="K162">
            <v>4.8269745798606371E-4</v>
          </cell>
        </row>
        <row r="163">
          <cell r="B163" t="str">
            <v>EHYD-RUNS15</v>
          </cell>
          <cell r="C163" t="str">
            <v>VAR_ncap</v>
          </cell>
          <cell r="D163" t="str">
            <v>-</v>
          </cell>
          <cell r="J163">
            <v>1.6383691452207502E-8</v>
          </cell>
          <cell r="K163">
            <v>1.17153363209971E-8</v>
          </cell>
        </row>
        <row r="164">
          <cell r="B164" t="str">
            <v>EHYD-RUNS15</v>
          </cell>
          <cell r="C164" t="str">
            <v>VAR_cap</v>
          </cell>
          <cell r="D164" t="str">
            <v>-</v>
          </cell>
          <cell r="I164">
            <v>3.0248139359747899E-5</v>
          </cell>
          <cell r="J164">
            <v>3.02645230512001E-5</v>
          </cell>
          <cell r="K164">
            <v>3.0276238387521101E-5</v>
          </cell>
        </row>
        <row r="165">
          <cell r="B165" t="str">
            <v>EHYD-RUN10</v>
          </cell>
          <cell r="C165" t="str">
            <v>VAR_fout</v>
          </cell>
          <cell r="D165" t="str">
            <v>ELC13</v>
          </cell>
          <cell r="I165">
            <v>2.0293863924830308E-2</v>
          </cell>
          <cell r="J165">
            <v>1.9585212861445267E-2</v>
          </cell>
          <cell r="K165">
            <v>1.9708300979466672E-2</v>
          </cell>
        </row>
        <row r="166">
          <cell r="B166" t="str">
            <v>EHYD-RUN10</v>
          </cell>
          <cell r="C166" t="str">
            <v>VAR_fin</v>
          </cell>
          <cell r="D166" t="str">
            <v>HYDR</v>
          </cell>
          <cell r="I166">
            <v>2.0293863924830308E-2</v>
          </cell>
          <cell r="J166">
            <v>1.9585212861445267E-2</v>
          </cell>
          <cell r="K166">
            <v>1.9708300979466672E-2</v>
          </cell>
        </row>
        <row r="167">
          <cell r="B167" t="str">
            <v>EHYD-RUN10</v>
          </cell>
          <cell r="C167" t="str">
            <v>VAR_ncap</v>
          </cell>
          <cell r="D167" t="str">
            <v>-</v>
          </cell>
          <cell r="J167"/>
          <cell r="K167">
            <v>2.6102946075625899E-8</v>
          </cell>
        </row>
        <row r="168">
          <cell r="B168" t="str">
            <v>EHYD-RUN10</v>
          </cell>
          <cell r="C168" t="str">
            <v>VAR_cap</v>
          </cell>
          <cell r="D168" t="str">
            <v>-</v>
          </cell>
          <cell r="I168">
            <v>1.57324638888417E-3</v>
          </cell>
          <cell r="J168">
            <v>1.57324638888417E-3</v>
          </cell>
          <cell r="K168">
            <v>1.5732724918302401E-3</v>
          </cell>
        </row>
        <row r="169">
          <cell r="B169" t="str">
            <v>ITOT-CHPWOD</v>
          </cell>
          <cell r="C169" t="str">
            <v>VAR_fout</v>
          </cell>
          <cell r="D169" t="str">
            <v>ITOT_LTH_CHP</v>
          </cell>
          <cell r="I169">
            <v>5.4583652370495894</v>
          </cell>
          <cell r="J169">
            <v>7.3629166521615481</v>
          </cell>
          <cell r="K169">
            <v>9.570023532868646</v>
          </cell>
        </row>
        <row r="170">
          <cell r="B170" t="str">
            <v>ITOT-CHPWOD</v>
          </cell>
          <cell r="C170" t="str">
            <v>VAR_fout</v>
          </cell>
          <cell r="D170" t="str">
            <v>ITOT_KEV_WOD_ELC_CHP</v>
          </cell>
          <cell r="I170">
            <v>2.5803181120598007</v>
          </cell>
          <cell r="J170">
            <v>3.4806515082945415</v>
          </cell>
          <cell r="K170">
            <v>4.5240111246288102</v>
          </cell>
        </row>
        <row r="171">
          <cell r="B171" t="str">
            <v>ITOT-CHPWOD</v>
          </cell>
          <cell r="C171" t="str">
            <v>VAR_fin</v>
          </cell>
          <cell r="D171" t="str">
            <v>IWOD</v>
          </cell>
          <cell r="I171">
            <v>7.4616905425047317</v>
          </cell>
          <cell r="J171">
            <v>9.8576026590428718</v>
          </cell>
          <cell r="K171">
            <v>12.304376115431268</v>
          </cell>
        </row>
        <row r="172">
          <cell r="B172" t="str">
            <v>ITOT-CHPWOD</v>
          </cell>
          <cell r="C172" t="str">
            <v>VAR_ncap</v>
          </cell>
          <cell r="D172" t="str">
            <v>-</v>
          </cell>
          <cell r="I172">
            <v>4.6351857569464798E-2</v>
          </cell>
          <cell r="J172">
            <v>7.7055156350779003E-2</v>
          </cell>
          <cell r="K172">
            <v>0.10978664724053</v>
          </cell>
        </row>
        <row r="173">
          <cell r="B173" t="str">
            <v>ITOT-CHPWOD</v>
          </cell>
          <cell r="C173" t="str">
            <v>VAR_cap</v>
          </cell>
          <cell r="D173" t="str">
            <v>-</v>
          </cell>
          <cell r="I173">
            <v>9.5405893572885675E-2</v>
          </cell>
          <cell r="J173">
            <v>0.13700018355231641</v>
          </cell>
          <cell r="K173">
            <v>0.18531472097178189</v>
          </cell>
        </row>
        <row r="174">
          <cell r="B174" t="str">
            <v>EHYD-RUN15</v>
          </cell>
          <cell r="C174" t="str">
            <v>VAR_fout</v>
          </cell>
          <cell r="D174" t="str">
            <v>ELC13</v>
          </cell>
          <cell r="I174">
            <v>3.9775961461549502E-4</v>
          </cell>
          <cell r="J174">
            <v>4.4767011800203669E-4</v>
          </cell>
          <cell r="K174">
            <v>4.4786951598661356E-4</v>
          </cell>
        </row>
        <row r="175">
          <cell r="B175" t="str">
            <v>EHYD-RUN15</v>
          </cell>
          <cell r="C175" t="str">
            <v>VAR_fin</v>
          </cell>
          <cell r="D175" t="str">
            <v>HYDR</v>
          </cell>
          <cell r="I175">
            <v>3.9775961461549502E-4</v>
          </cell>
          <cell r="J175">
            <v>4.4767011800203669E-4</v>
          </cell>
          <cell r="K175">
            <v>4.4786951598661356E-4</v>
          </cell>
        </row>
        <row r="176">
          <cell r="B176" t="str">
            <v>EHYD-RUN15</v>
          </cell>
          <cell r="C176" t="str">
            <v>VAR_ncap</v>
          </cell>
          <cell r="D176" t="str">
            <v>-</v>
          </cell>
          <cell r="J176">
            <v>1.1689513915007801E-8</v>
          </cell>
          <cell r="K176">
            <v>2.5048476140599101E-8</v>
          </cell>
        </row>
        <row r="177">
          <cell r="B177" t="str">
            <v>EHYD-RUN15</v>
          </cell>
          <cell r="C177" t="str">
            <v>VAR_cap</v>
          </cell>
          <cell r="D177" t="str">
            <v>-</v>
          </cell>
          <cell r="I177">
            <v>3.1834407229778897E-5</v>
          </cell>
          <cell r="J177">
            <v>3.1836237222828801E-5</v>
          </cell>
          <cell r="K177">
            <v>3.1860549848402699E-5</v>
          </cell>
        </row>
        <row r="178">
          <cell r="B178" t="str">
            <v>SCOM-SWHSTG-CHPWOD</v>
          </cell>
          <cell r="C178" t="str">
            <v>VAR_fout</v>
          </cell>
          <cell r="D178" t="str">
            <v>AUX_SCOM-CHPWOD_OUT</v>
          </cell>
          <cell r="I178">
            <v>3.2867678200503687E-3</v>
          </cell>
          <cell r="J178">
            <v>2.481333675881684E-3</v>
          </cell>
          <cell r="K178">
            <v>1.2782362803173887E-2</v>
          </cell>
        </row>
        <row r="179">
          <cell r="B179" t="str">
            <v>SCOM-SWHSTG-CHPWOD</v>
          </cell>
          <cell r="C179" t="str">
            <v>VAR_fout</v>
          </cell>
          <cell r="D179" t="str">
            <v>SCOM_LTH_CHPWOD</v>
          </cell>
          <cell r="I179">
            <v>3.2904238465465267E-3</v>
          </cell>
          <cell r="J179">
            <v>2.4813336758816823E-3</v>
          </cell>
          <cell r="K179">
            <v>1.2782362803173887E-2</v>
          </cell>
        </row>
        <row r="180">
          <cell r="B180" t="str">
            <v>SCOM-SWHSTG-CHPWOD</v>
          </cell>
          <cell r="C180" t="str">
            <v>VAR_fin</v>
          </cell>
          <cell r="D180" t="str">
            <v>AUX_SCOM-CHPWOD_IN</v>
          </cell>
          <cell r="I180">
            <v>3.6512000029913397E-3</v>
          </cell>
          <cell r="J180">
            <v>2.6668760253231285E-3</v>
          </cell>
          <cell r="K180">
            <v>1.291165907970695E-2</v>
          </cell>
        </row>
        <row r="181">
          <cell r="B181" t="str">
            <v>SCOM-SWHSTG-CHPWOD</v>
          </cell>
          <cell r="C181" t="str">
            <v>VAR_fin</v>
          </cell>
          <cell r="D181" t="str">
            <v>SCOM_LTH_CHPWOD</v>
          </cell>
          <cell r="I181">
            <v>3.6512000029913397E-3</v>
          </cell>
          <cell r="J181">
            <v>2.6668760253231285E-3</v>
          </cell>
          <cell r="K181">
            <v>1.291165907970695E-2</v>
          </cell>
        </row>
        <row r="182">
          <cell r="B182" t="str">
            <v>SCOM-SWHSTG-CHPWOD</v>
          </cell>
          <cell r="C182" t="str">
            <v>VAR_ncap</v>
          </cell>
          <cell r="D182" t="str">
            <v>-</v>
          </cell>
          <cell r="I182">
            <v>2.4825980105823301E-4</v>
          </cell>
          <cell r="J182">
            <v>2.1307817648686101E-5</v>
          </cell>
          <cell r="K182">
            <v>6.7490457795548505E-4</v>
          </cell>
        </row>
        <row r="183">
          <cell r="B183" t="str">
            <v>SCOM-SWHSTG-CHPWOD</v>
          </cell>
          <cell r="C183" t="str">
            <v>VAR_cap</v>
          </cell>
          <cell r="D183" t="str">
            <v>-</v>
          </cell>
          <cell r="I183">
            <v>3.107949758518578E-4</v>
          </cell>
          <cell r="J183">
            <v>2.732210386289184E-4</v>
          </cell>
          <cell r="K183">
            <v>7.9384795943696063E-4</v>
          </cell>
        </row>
        <row r="184">
          <cell r="B184" t="str">
            <v>RHNM-ESOLPV</v>
          </cell>
          <cell r="C184" t="str">
            <v>VAR_fout</v>
          </cell>
          <cell r="D184" t="str">
            <v>RHNM_SOL_ELC</v>
          </cell>
          <cell r="I184">
            <v>1.9789420504691273</v>
          </cell>
          <cell r="J184">
            <v>2.0798880529768282</v>
          </cell>
          <cell r="K184">
            <v>2.2974903949971619</v>
          </cell>
        </row>
        <row r="185">
          <cell r="B185" t="str">
            <v>RHNM-ESOLPV</v>
          </cell>
          <cell r="C185" t="str">
            <v>VAR_fin</v>
          </cell>
          <cell r="D185" t="str">
            <v>SOL</v>
          </cell>
          <cell r="I185">
            <v>1.9789420504691273</v>
          </cell>
          <cell r="J185">
            <v>2.0798880529768282</v>
          </cell>
          <cell r="K185">
            <v>2.2974903949971619</v>
          </cell>
        </row>
        <row r="186">
          <cell r="B186" t="str">
            <v>RHNM-ESOLPV</v>
          </cell>
          <cell r="C186" t="str">
            <v>VAR_fin</v>
          </cell>
          <cell r="D186" t="str">
            <v>SOLPVC</v>
          </cell>
          <cell r="I186">
            <v>1.97894205046913</v>
          </cell>
          <cell r="J186">
            <v>2.07988805297683</v>
          </cell>
          <cell r="K186">
            <v>2.2974903949971601</v>
          </cell>
        </row>
        <row r="187">
          <cell r="B187" t="str">
            <v>RHNM-ESOLPV</v>
          </cell>
          <cell r="C187" t="str">
            <v>VAR_ncap</v>
          </cell>
          <cell r="D187" t="str">
            <v>-</v>
          </cell>
          <cell r="I187">
            <v>2.7687552829150499E-2</v>
          </cell>
          <cell r="J187">
            <v>2.9100778650793399E-2</v>
          </cell>
          <cell r="K187">
            <v>0.61113594641479196</v>
          </cell>
        </row>
        <row r="188">
          <cell r="B188" t="str">
            <v>RHNM-ESOLPV</v>
          </cell>
          <cell r="C188" t="str">
            <v>VAR_cap</v>
          </cell>
          <cell r="D188" t="str">
            <v>-</v>
          </cell>
          <cell r="I188">
            <v>0.57047213258657403</v>
          </cell>
          <cell r="J188">
            <v>0.59957197080371205</v>
          </cell>
          <cell r="K188">
            <v>0.66229986230346405</v>
          </cell>
        </row>
        <row r="189">
          <cell r="B189" t="str">
            <v>CHPNGA</v>
          </cell>
          <cell r="C189" t="str">
            <v>VAR_fout</v>
          </cell>
          <cell r="D189" t="str">
            <v>ELC35</v>
          </cell>
          <cell r="I189">
            <v>1.5447643830897655E-3</v>
          </cell>
          <cell r="J189">
            <v>6.7003417132125039E-4</v>
          </cell>
          <cell r="K189">
            <v>1.3057709754155365E-3</v>
          </cell>
        </row>
        <row r="190">
          <cell r="B190" t="str">
            <v>CHPNGA</v>
          </cell>
          <cell r="C190" t="str">
            <v>VAR_fout</v>
          </cell>
          <cell r="D190" t="str">
            <v>LTH</v>
          </cell>
          <cell r="I190">
            <v>3.2860741427793772E-3</v>
          </cell>
          <cell r="J190">
            <v>1.4176145339661974E-3</v>
          </cell>
          <cell r="K190">
            <v>2.7332748860722823E-3</v>
          </cell>
        </row>
        <row r="191">
          <cell r="B191" t="str">
            <v>CHPNGA</v>
          </cell>
          <cell r="C191" t="str">
            <v>VAR_fout</v>
          </cell>
          <cell r="D191" t="str">
            <v>CO2_E</v>
          </cell>
          <cell r="I191">
            <v>0.35599500618241597</v>
          </cell>
          <cell r="J191">
            <v>0.15420068254484001</v>
          </cell>
          <cell r="K191">
            <v>0.29955287839351202</v>
          </cell>
        </row>
        <row r="192">
          <cell r="B192" t="str">
            <v>CHPNGA</v>
          </cell>
          <cell r="C192" t="str">
            <v>VAR_fin</v>
          </cell>
          <cell r="D192" t="str">
            <v>ENGA</v>
          </cell>
          <cell r="I192">
            <v>6.3119681947236767E-3</v>
          </cell>
          <cell r="J192">
            <v>2.7340546550503509E-3</v>
          </cell>
          <cell r="K192">
            <v>5.311221248111923E-3</v>
          </cell>
        </row>
        <row r="193">
          <cell r="B193" t="str">
            <v>CHPNGA</v>
          </cell>
          <cell r="C193" t="str">
            <v>VAR_ncap</v>
          </cell>
          <cell r="D193" t="str">
            <v>-</v>
          </cell>
          <cell r="I193">
            <v>3.8773416306613401E-7</v>
          </cell>
          <cell r="J193">
            <v>2.1976764860239001E-7</v>
          </cell>
          <cell r="K193">
            <v>9.0159813205369703E-5</v>
          </cell>
        </row>
        <row r="194">
          <cell r="B194" t="str">
            <v>CHPNGA</v>
          </cell>
          <cell r="C194" t="str">
            <v>VAR_cap</v>
          </cell>
          <cell r="D194" t="str">
            <v>-</v>
          </cell>
          <cell r="I194">
            <v>1.7069737755009322E-4</v>
          </cell>
          <cell r="J194">
            <v>1.3427365079611119E-4</v>
          </cell>
          <cell r="K194">
            <v>9.0617876299045564E-5</v>
          </cell>
        </row>
        <row r="195">
          <cell r="B195" t="str">
            <v>EHYD-PUM00</v>
          </cell>
          <cell r="C195" t="str">
            <v>VAR_fout</v>
          </cell>
          <cell r="D195" t="str">
            <v>ELC</v>
          </cell>
          <cell r="I195">
            <v>12.538150178000143</v>
          </cell>
          <cell r="J195">
            <v>12.557270001665543</v>
          </cell>
          <cell r="K195">
            <v>12.5961441801332</v>
          </cell>
        </row>
        <row r="196">
          <cell r="B196" t="str">
            <v>EHYD-PUM00</v>
          </cell>
          <cell r="C196" t="str">
            <v>VAR_fout</v>
          </cell>
          <cell r="D196" t="str">
            <v>AUX_PUMP_OUT</v>
          </cell>
          <cell r="I196">
            <v>12.538150178000143</v>
          </cell>
          <cell r="J196">
            <v>12.557270001665543</v>
          </cell>
          <cell r="K196">
            <v>12.5961441801332</v>
          </cell>
        </row>
        <row r="197">
          <cell r="B197" t="str">
            <v>EHYD-PUM00</v>
          </cell>
          <cell r="C197" t="str">
            <v>VAR_fin</v>
          </cell>
          <cell r="D197" t="str">
            <v>AUX_PUMP_IN</v>
          </cell>
          <cell r="I197">
            <v>15.672687689077254</v>
          </cell>
          <cell r="J197">
            <v>15.696587477372629</v>
          </cell>
          <cell r="K197">
            <v>15.745180156460576</v>
          </cell>
        </row>
        <row r="198">
          <cell r="B198" t="str">
            <v>EHYD-PUM00</v>
          </cell>
          <cell r="C198" t="str">
            <v>VAR_fin</v>
          </cell>
          <cell r="D198" t="str">
            <v>ELC</v>
          </cell>
          <cell r="I198">
            <v>15.672687689077254</v>
          </cell>
          <cell r="J198">
            <v>15.696587477372629</v>
          </cell>
          <cell r="K198">
            <v>15.745180156460576</v>
          </cell>
        </row>
        <row r="199">
          <cell r="B199" t="str">
            <v>EHYD-PUM00</v>
          </cell>
          <cell r="C199" t="str">
            <v>VAR_cap</v>
          </cell>
          <cell r="D199" t="str">
            <v>-</v>
          </cell>
          <cell r="I199">
            <v>4.3594499999999998</v>
          </cell>
          <cell r="J199">
            <v>4.3594499999999998</v>
          </cell>
          <cell r="K199">
            <v>4.3594499999999998</v>
          </cell>
        </row>
        <row r="200">
          <cell r="B200" t="str">
            <v>RHNS-SHSTG-CHPNGA</v>
          </cell>
          <cell r="C200" t="str">
            <v>VAR_fout</v>
          </cell>
          <cell r="D200" t="str">
            <v>RHNS_LTH_CHPNGA</v>
          </cell>
          <cell r="I200">
            <v>1.9064826010705138E-3</v>
          </cell>
          <cell r="J200">
            <v>3.0460083336497348E-3</v>
          </cell>
          <cell r="K200">
            <v>7.4732044270009413E-4</v>
          </cell>
        </row>
        <row r="201">
          <cell r="B201" t="str">
            <v>RHNS-SHSTG-CHPNGA</v>
          </cell>
          <cell r="C201" t="str">
            <v>VAR_fout</v>
          </cell>
          <cell r="D201" t="str">
            <v>AUX_RNS-CHPNGA_OUT</v>
          </cell>
          <cell r="I201">
            <v>1.9047319283422616E-3</v>
          </cell>
          <cell r="J201">
            <v>3.0460083336497448E-3</v>
          </cell>
          <cell r="K201">
            <v>7.4732044270009478E-4</v>
          </cell>
        </row>
        <row r="202">
          <cell r="B202" t="str">
            <v>RHNS-SHSTG-CHPNGA</v>
          </cell>
          <cell r="C202" t="str">
            <v>VAR_fin</v>
          </cell>
          <cell r="D202" t="str">
            <v>RHNS_LTH_CHPNGA</v>
          </cell>
          <cell r="I202">
            <v>2.3091211343701781E-3</v>
          </cell>
          <cell r="J202">
            <v>3.5835392160585514E-3</v>
          </cell>
          <cell r="K202">
            <v>8.3035604744455336E-4</v>
          </cell>
        </row>
        <row r="203">
          <cell r="B203" t="str">
            <v>RHNS-SHSTG-CHPNGA</v>
          </cell>
          <cell r="C203" t="str">
            <v>VAR_fin</v>
          </cell>
          <cell r="D203" t="str">
            <v>AUX_RNS-CHPNGA_IN</v>
          </cell>
          <cell r="I203">
            <v>2.3091211343701781E-3</v>
          </cell>
          <cell r="J203">
            <v>3.5835392160585514E-3</v>
          </cell>
          <cell r="K203">
            <v>8.3035604744455336E-4</v>
          </cell>
        </row>
        <row r="204">
          <cell r="B204" t="str">
            <v>RHNS-SHSTG-CHPNGA</v>
          </cell>
          <cell r="C204" t="str">
            <v>VAR_ncap</v>
          </cell>
          <cell r="D204" t="str">
            <v>-</v>
          </cell>
          <cell r="I204">
            <v>2.3837848912062199E-4</v>
          </cell>
          <cell r="J204">
            <v>3.0714483284173502E-5</v>
          </cell>
          <cell r="K204">
            <v>4.12078496380125E-5</v>
          </cell>
        </row>
        <row r="205">
          <cell r="B205" t="str">
            <v>RHNS-SHSTG-CHPNGA</v>
          </cell>
          <cell r="C205" t="str">
            <v>VAR_cap</v>
          </cell>
          <cell r="D205" t="str">
            <v>-</v>
          </cell>
          <cell r="I205">
            <v>3.194595024188522E-4</v>
          </cell>
          <cell r="J205">
            <v>2.6965828309401908E-4</v>
          </cell>
          <cell r="K205">
            <v>1.6280556089592579E-4</v>
          </cell>
        </row>
        <row r="206">
          <cell r="B206" t="str">
            <v>ITOT-CHPGFC</v>
          </cell>
          <cell r="C206" t="str">
            <v>VAR_fout</v>
          </cell>
          <cell r="D206" t="str">
            <v>ITOT_NKEV_GAS_ELC_CHP</v>
          </cell>
          <cell r="I206">
            <v>2.177530542550961E-4</v>
          </cell>
          <cell r="J206">
            <v>1.8588884496890801E-4</v>
          </cell>
          <cell r="K206">
            <v>3.6272912648002117E-4</v>
          </cell>
        </row>
        <row r="207">
          <cell r="B207" t="str">
            <v>ITOT-CHPGFC</v>
          </cell>
          <cell r="C207" t="str">
            <v>VAR_fout</v>
          </cell>
          <cell r="D207" t="str">
            <v>ITOT_LTH_CHP</v>
          </cell>
          <cell r="I207">
            <v>1.0338275741010303E-4</v>
          </cell>
          <cell r="J207">
            <v>8.3564710123637547E-5</v>
          </cell>
          <cell r="K207">
            <v>1.4636438436913153E-4</v>
          </cell>
        </row>
        <row r="208">
          <cell r="B208" t="str">
            <v>ITOT-CHPGFC</v>
          </cell>
          <cell r="C208" t="str">
            <v>VAR_fout</v>
          </cell>
          <cell r="D208" t="str">
            <v>CO2_I</v>
          </cell>
          <cell r="I208">
            <v>2.30634220844834E-2</v>
          </cell>
          <cell r="J208">
            <v>1.92369373509108E-2</v>
          </cell>
          <cell r="K208">
            <v>3.5891092514865303E-2</v>
          </cell>
        </row>
        <row r="209">
          <cell r="B209" t="str">
            <v>ITOT-CHPGFC</v>
          </cell>
          <cell r="C209" t="str">
            <v>VAR_fin</v>
          </cell>
          <cell r="D209" t="str">
            <v>INGA</v>
          </cell>
          <cell r="I209">
            <v>4.0892592348374843E-4</v>
          </cell>
          <cell r="J209">
            <v>3.4108044948423494E-4</v>
          </cell>
          <cell r="K209">
            <v>6.3636688856144065E-4</v>
          </cell>
        </row>
        <row r="210">
          <cell r="B210" t="str">
            <v>ITOT-CHPGFC</v>
          </cell>
          <cell r="C210" t="str">
            <v>VAR_ncap</v>
          </cell>
          <cell r="D210" t="str">
            <v>-</v>
          </cell>
          <cell r="I210">
            <v>9.1385320998198799E-6</v>
          </cell>
          <cell r="J210">
            <v>1.95552287468901E-6</v>
          </cell>
          <cell r="K210">
            <v>1.70287613810559E-5</v>
          </cell>
        </row>
        <row r="211">
          <cell r="B211" t="str">
            <v>ITOT-CHPGFC</v>
          </cell>
          <cell r="C211" t="str">
            <v>VAR_cap</v>
          </cell>
          <cell r="D211" t="str">
            <v>-</v>
          </cell>
          <cell r="I211">
            <v>2.7217189717766799E-5</v>
          </cell>
          <cell r="J211">
            <v>2.3429183409679377E-5</v>
          </cell>
          <cell r="K211">
            <v>2.2305630089565088E-5</v>
          </cell>
        </row>
        <row r="212">
          <cell r="B212" t="str">
            <v>ITOT-SWSTG-CHP</v>
          </cell>
          <cell r="C212" t="str">
            <v>VAR_fout</v>
          </cell>
          <cell r="D212" t="str">
            <v>ITOT_LTH_CHP</v>
          </cell>
          <cell r="I212">
            <v>9.5037259044326548E-3</v>
          </cell>
          <cell r="J212">
            <v>7.5347110289239377E-2</v>
          </cell>
          <cell r="K212">
            <v>0.30012497125581417</v>
          </cell>
        </row>
        <row r="213">
          <cell r="B213" t="str">
            <v>ITOT-SWSTG-CHP</v>
          </cell>
          <cell r="C213" t="str">
            <v>VAR_fout</v>
          </cell>
          <cell r="D213" t="str">
            <v>AUX_ITOT-CHP_OUT</v>
          </cell>
          <cell r="I213">
            <v>9.4931662089832967E-3</v>
          </cell>
          <cell r="J213">
            <v>7.5347110289239461E-2</v>
          </cell>
          <cell r="K213">
            <v>0.30012497125581417</v>
          </cell>
        </row>
        <row r="214">
          <cell r="B214" t="str">
            <v>ITOT-SWSTG-CHP</v>
          </cell>
          <cell r="C214" t="str">
            <v>VAR_fin</v>
          </cell>
          <cell r="D214" t="str">
            <v>ITOT_LTH_CHP</v>
          </cell>
          <cell r="I214">
            <v>1.0560874615739018E-2</v>
          </cell>
          <cell r="J214">
            <v>8.1019567891813235E-2</v>
          </cell>
          <cell r="K214">
            <v>0.30315771453340246</v>
          </cell>
        </row>
        <row r="215">
          <cell r="B215" t="str">
            <v>ITOT-SWSTG-CHP</v>
          </cell>
          <cell r="C215" t="str">
            <v>VAR_fin</v>
          </cell>
          <cell r="D215" t="str">
            <v>AUX_ITOT-CHP_IN</v>
          </cell>
          <cell r="I215">
            <v>1.0560874615739018E-2</v>
          </cell>
          <cell r="J215">
            <v>8.1019567891813235E-2</v>
          </cell>
          <cell r="K215">
            <v>0.30315771453340246</v>
          </cell>
        </row>
        <row r="216">
          <cell r="B216" t="str">
            <v>ITOT-SWSTG-CHP</v>
          </cell>
          <cell r="C216" t="str">
            <v>VAR_ncap</v>
          </cell>
          <cell r="D216" t="str">
            <v>-</v>
          </cell>
          <cell r="I216">
            <v>5.9663389764026997E-5</v>
          </cell>
          <cell r="J216">
            <v>2.19355606729622E-2</v>
          </cell>
          <cell r="K216">
            <v>4.3278198095672203E-2</v>
          </cell>
        </row>
        <row r="217">
          <cell r="B217" t="str">
            <v>ITOT-SWSTG-CHP</v>
          </cell>
          <cell r="C217" t="str">
            <v>VAR_cap</v>
          </cell>
          <cell r="D217" t="str">
            <v>-</v>
          </cell>
          <cell r="I217">
            <v>1.9951001488495903E-3</v>
          </cell>
          <cell r="J217">
            <v>2.2316964454022103E-2</v>
          </cell>
          <cell r="K217">
            <v>5.9221362897752955E-2</v>
          </cell>
        </row>
        <row r="218">
          <cell r="B218" t="str">
            <v>D-ELFO</v>
          </cell>
          <cell r="C218" t="str">
            <v>VAR_fout</v>
          </cell>
          <cell r="D218" t="str">
            <v>CO2</v>
          </cell>
          <cell r="I218">
            <v>0.15806340723360501</v>
          </cell>
          <cell r="J218">
            <v>0.102551856652629</v>
          </cell>
          <cell r="K218">
            <v>0.209937673695647</v>
          </cell>
        </row>
        <row r="219">
          <cell r="B219" t="str">
            <v>D-ELFO</v>
          </cell>
          <cell r="C219" t="str">
            <v>VAR_fout</v>
          </cell>
          <cell r="D219" t="str">
            <v>ELFO</v>
          </cell>
          <cell r="I219">
            <v>2.1088678985947658E-3</v>
          </cell>
          <cell r="J219">
            <v>1.3682377358625081E-3</v>
          </cell>
          <cell r="K219">
            <v>2.8009697406313123E-3</v>
          </cell>
        </row>
        <row r="220">
          <cell r="B220" t="str">
            <v>D-ELFO</v>
          </cell>
          <cell r="C220" t="str">
            <v>VAR_fin</v>
          </cell>
          <cell r="D220" t="str">
            <v>LFO</v>
          </cell>
          <cell r="I220">
            <v>2.1446866653134986E-3</v>
          </cell>
          <cell r="J220">
            <v>1.3914770237805844E-3</v>
          </cell>
          <cell r="K220">
            <v>2.8485437407821819E-3</v>
          </cell>
        </row>
        <row r="221">
          <cell r="B221" t="str">
            <v>EHYD-DAM00</v>
          </cell>
          <cell r="C221" t="str">
            <v>VAR_fout</v>
          </cell>
          <cell r="D221" t="str">
            <v>ELC</v>
          </cell>
          <cell r="I221">
            <v>70.32514523939426</v>
          </cell>
          <cell r="J221">
            <v>71.397703558193328</v>
          </cell>
          <cell r="K221">
            <v>71.338021153870955</v>
          </cell>
        </row>
        <row r="222">
          <cell r="B222" t="str">
            <v>EHYD-DAM00</v>
          </cell>
          <cell r="C222" t="str">
            <v>VAR_fin</v>
          </cell>
          <cell r="D222" t="str">
            <v>HYDD</v>
          </cell>
          <cell r="I222">
            <v>70.32514523939426</v>
          </cell>
          <cell r="J222">
            <v>71.397703558193328</v>
          </cell>
          <cell r="K222">
            <v>71.338021153870955</v>
          </cell>
        </row>
        <row r="223">
          <cell r="B223" t="str">
            <v>EHYD-DAM00</v>
          </cell>
          <cell r="C223" t="str">
            <v>VAR_cap</v>
          </cell>
          <cell r="D223" t="str">
            <v>-</v>
          </cell>
          <cell r="I223">
            <v>7.3394300010600002</v>
          </cell>
          <cell r="J223">
            <v>7.3394300010600002</v>
          </cell>
          <cell r="K223">
            <v>7.3394300010600002</v>
          </cell>
        </row>
        <row r="224">
          <cell r="B224" t="str">
            <v>RHES-SHSTG-CHPWOD</v>
          </cell>
          <cell r="C224" t="str">
            <v>VAR_fout</v>
          </cell>
          <cell r="D224" t="str">
            <v>AUX_RES-CHPWOD_OUT</v>
          </cell>
          <cell r="I224">
            <v>4.1290193977755566E-4</v>
          </cell>
          <cell r="J224">
            <v>4.8891921574457063E-4</v>
          </cell>
          <cell r="K224">
            <v>4.822059819627613E-4</v>
          </cell>
        </row>
        <row r="225">
          <cell r="B225" t="str">
            <v>RHES-SHSTG-CHPWOD</v>
          </cell>
          <cell r="C225" t="str">
            <v>VAR_fout</v>
          </cell>
          <cell r="D225" t="str">
            <v>RHES_LTH_CHPWOD</v>
          </cell>
          <cell r="I225">
            <v>4.1328144523690934E-4</v>
          </cell>
          <cell r="J225">
            <v>4.8891921574456901E-4</v>
          </cell>
          <cell r="K225">
            <v>4.8220598196276071E-4</v>
          </cell>
        </row>
        <row r="226">
          <cell r="B226" t="str">
            <v>RHES-SHSTG-CHPWOD</v>
          </cell>
          <cell r="C226" t="str">
            <v>VAR_fin</v>
          </cell>
          <cell r="D226" t="str">
            <v>AUX_RES-CHPWOD_IN</v>
          </cell>
          <cell r="I226">
            <v>4.9918033942017513E-4</v>
          </cell>
          <cell r="J226">
            <v>5.7519907734663743E-4</v>
          </cell>
          <cell r="K226">
            <v>5.3578442440307039E-4</v>
          </cell>
        </row>
        <row r="227">
          <cell r="B227" t="str">
            <v>RHES-SHSTG-CHPWOD</v>
          </cell>
          <cell r="C227" t="str">
            <v>VAR_fin</v>
          </cell>
          <cell r="D227" t="str">
            <v>RHES_LTH_CHPWOD</v>
          </cell>
          <cell r="I227">
            <v>4.9918033942017513E-4</v>
          </cell>
          <cell r="J227">
            <v>5.7519907734663743E-4</v>
          </cell>
          <cell r="K227">
            <v>5.3578442440307039E-4</v>
          </cell>
        </row>
        <row r="228">
          <cell r="B228" t="str">
            <v>RHES-SHSTG-CHPWOD</v>
          </cell>
          <cell r="C228" t="str">
            <v>VAR_ncap</v>
          </cell>
          <cell r="D228" t="str">
            <v>-</v>
          </cell>
          <cell r="I228">
            <v>2.4838327068264402E-4</v>
          </cell>
          <cell r="J228">
            <v>2.17746868459061E-5</v>
          </cell>
          <cell r="K228">
            <v>4.3292262154204803E-5</v>
          </cell>
        </row>
        <row r="229">
          <cell r="B229" t="str">
            <v>RHES-SHSTG-CHPWOD</v>
          </cell>
          <cell r="C229" t="str">
            <v>VAR_cap</v>
          </cell>
          <cell r="D229" t="str">
            <v>-</v>
          </cell>
          <cell r="I229">
            <v>3.1225777612685189E-4</v>
          </cell>
          <cell r="J229">
            <v>2.7240468660604141E-4</v>
          </cell>
          <cell r="K229">
            <v>1.6263978132189882E-4</v>
          </cell>
        </row>
        <row r="230">
          <cell r="B230" t="str">
            <v>ENUC_GOE_EXT</v>
          </cell>
          <cell r="C230" t="str">
            <v>VAR_fout</v>
          </cell>
          <cell r="D230" t="str">
            <v>ELC</v>
          </cell>
          <cell r="I230">
            <v>29.714069977365426</v>
          </cell>
          <cell r="J230">
            <v>29.714070303656509</v>
          </cell>
          <cell r="K230">
            <v>9.7648068058470781</v>
          </cell>
        </row>
        <row r="231">
          <cell r="B231" t="str">
            <v>ENUC_GOE_EXT</v>
          </cell>
          <cell r="C231" t="str">
            <v>VAR_fin</v>
          </cell>
          <cell r="D231" t="str">
            <v>URN</v>
          </cell>
          <cell r="I231">
            <v>89.613757879720367</v>
          </cell>
          <cell r="J231">
            <v>89.613758863771679</v>
          </cell>
          <cell r="K231">
            <v>29.449383188099137</v>
          </cell>
        </row>
        <row r="232">
          <cell r="B232" t="str">
            <v>ENUC_GOE_EXT</v>
          </cell>
          <cell r="C232" t="str">
            <v>VAR_ncap</v>
          </cell>
          <cell r="D232" t="str">
            <v>-</v>
          </cell>
          <cell r="I232"/>
          <cell r="J232"/>
          <cell r="K232"/>
        </row>
        <row r="233">
          <cell r="B233" t="str">
            <v>ENUC_GOE_EXT</v>
          </cell>
          <cell r="C233" t="str">
            <v>VAR_cap</v>
          </cell>
          <cell r="D233" t="str">
            <v>-</v>
          </cell>
          <cell r="I233">
            <v>1.0099886740854862</v>
          </cell>
          <cell r="J233">
            <v>1.00998868682376</v>
          </cell>
          <cell r="K233">
            <v>0.34594256460477157</v>
          </cell>
        </row>
        <row r="234">
          <cell r="B234" t="str">
            <v>ESOL-PV_A</v>
          </cell>
          <cell r="C234" t="str">
            <v>VAR_fout</v>
          </cell>
          <cell r="D234" t="str">
            <v>ELC35</v>
          </cell>
          <cell r="I234">
            <v>9.9070308512939627E-4</v>
          </cell>
          <cell r="J234">
            <v>9.8917169820446306E-4</v>
          </cell>
          <cell r="K234">
            <v>7.8439032543397051E-4</v>
          </cell>
        </row>
        <row r="235">
          <cell r="B235" t="str">
            <v>ESOL-PV_A</v>
          </cell>
          <cell r="C235" t="str">
            <v>VAR_fin</v>
          </cell>
          <cell r="D235" t="str">
            <v>SOL</v>
          </cell>
          <cell r="I235">
            <v>9.9070308512939627E-4</v>
          </cell>
          <cell r="J235">
            <v>9.8917169820446306E-4</v>
          </cell>
          <cell r="K235">
            <v>7.8439032543397051E-4</v>
          </cell>
        </row>
        <row r="236">
          <cell r="B236" t="str">
            <v>ESOL-PV_A</v>
          </cell>
          <cell r="C236" t="str">
            <v>VAR_fin</v>
          </cell>
          <cell r="D236" t="str">
            <v>SOLPVC</v>
          </cell>
          <cell r="I236">
            <v>9.9070308512939692E-4</v>
          </cell>
          <cell r="J236">
            <v>9.8917169820446306E-4</v>
          </cell>
          <cell r="K236">
            <v>7.8439032543397105E-4</v>
          </cell>
        </row>
        <row r="237">
          <cell r="B237" t="str">
            <v>ESOL-PV_A</v>
          </cell>
          <cell r="C237" t="str">
            <v>VAR_ncap</v>
          </cell>
          <cell r="D237" t="str">
            <v>-</v>
          </cell>
          <cell r="I237">
            <v>2.46701927863095E-8</v>
          </cell>
          <cell r="J237">
            <v>2.5014908073450601E-8</v>
          </cell>
          <cell r="K237">
            <v>6.1341510848200295E-8</v>
          </cell>
        </row>
        <row r="238">
          <cell r="B238" t="str">
            <v>ESOL-PV_A</v>
          </cell>
          <cell r="C238" t="str">
            <v>VAR_cap</v>
          </cell>
          <cell r="D238" t="str">
            <v>-</v>
          </cell>
          <cell r="I238">
            <v>1.5337856191485099E-4</v>
          </cell>
          <cell r="J238">
            <v>1.53402778558746E-4</v>
          </cell>
          <cell r="K238">
            <v>1.22321505332983E-4</v>
          </cell>
        </row>
        <row r="239">
          <cell r="B239" t="str">
            <v>G-INTC-IND</v>
          </cell>
          <cell r="C239" t="str">
            <v>VAR_fout</v>
          </cell>
          <cell r="D239" t="str">
            <v>ELC35</v>
          </cell>
          <cell r="I239">
            <v>3.0852185307504644E-4</v>
          </cell>
          <cell r="J239">
            <v>1.8078007356030809E-4</v>
          </cell>
          <cell r="K239">
            <v>1.2620862154013752E-4</v>
          </cell>
        </row>
        <row r="240">
          <cell r="B240" t="str">
            <v>G-INTC-IND</v>
          </cell>
          <cell r="C240" t="str">
            <v>VAR_fout</v>
          </cell>
          <cell r="D240" t="str">
            <v>ITOT_ELC</v>
          </cell>
          <cell r="I240">
            <v>58.664349383642751</v>
          </cell>
          <cell r="J240">
            <v>54.559739546540868</v>
          </cell>
          <cell r="K240">
            <v>53.964348651598485</v>
          </cell>
        </row>
        <row r="241">
          <cell r="B241" t="str">
            <v>G-INTC-IND</v>
          </cell>
          <cell r="C241" t="str">
            <v>VAR_fout</v>
          </cell>
          <cell r="D241" t="str">
            <v>ELC13</v>
          </cell>
          <cell r="I241">
            <v>2.2402867758891795E-4</v>
          </cell>
          <cell r="J241">
            <v>1.3148069044228934E-4</v>
          </cell>
          <cell r="K241">
            <v>1.0109759115821182E-4</v>
          </cell>
        </row>
        <row r="242">
          <cell r="B242" t="str">
            <v>G-INTC-IND</v>
          </cell>
          <cell r="C242" t="str">
            <v>VAR_fin</v>
          </cell>
          <cell r="D242" t="str">
            <v>ELC3</v>
          </cell>
          <cell r="I242">
            <v>58.664163605721932</v>
          </cell>
          <cell r="J242">
            <v>24.781018432267938</v>
          </cell>
          <cell r="K242">
            <v>24.352787779472557</v>
          </cell>
        </row>
        <row r="243">
          <cell r="B243" t="str">
            <v>G-INTC-IND</v>
          </cell>
          <cell r="C243" t="str">
            <v>VAR_fin</v>
          </cell>
          <cell r="D243" t="str">
            <v>ELC5</v>
          </cell>
          <cell r="I243">
            <v>7.2017835384772101E-4</v>
          </cell>
          <cell r="J243">
            <v>29.779033375036928</v>
          </cell>
          <cell r="K243">
            <v>29.611779012016854</v>
          </cell>
        </row>
        <row r="244">
          <cell r="B244" t="str">
            <v>G-INTC-IND</v>
          </cell>
          <cell r="C244" t="str">
            <v>VAR_ncap</v>
          </cell>
          <cell r="D244" t="str">
            <v>-</v>
          </cell>
          <cell r="I244">
            <v>7.7546733713009502E-8</v>
          </cell>
          <cell r="J244">
            <v>1.06124366031831E-7</v>
          </cell>
          <cell r="K244">
            <v>1.9914919953951701E-7</v>
          </cell>
        </row>
        <row r="245">
          <cell r="B245" t="str">
            <v>G-INTC-IND</v>
          </cell>
          <cell r="C245" t="str">
            <v>VAR_cap</v>
          </cell>
          <cell r="D245" t="str">
            <v>-</v>
          </cell>
          <cell r="I245">
            <v>4.4927376078069603</v>
          </cell>
          <cell r="J245">
            <v>4.4927377177767696</v>
          </cell>
          <cell r="K245">
            <v>4.4927379201666566</v>
          </cell>
        </row>
        <row r="246">
          <cell r="B246" t="str">
            <v>D-IH2R</v>
          </cell>
          <cell r="C246" t="str">
            <v>VAR_fout</v>
          </cell>
          <cell r="D246" t="str">
            <v>IH2</v>
          </cell>
          <cell r="I246">
            <v>7.7223408374875707E-4</v>
          </cell>
          <cell r="J246">
            <v>5.4116585612000174E-4</v>
          </cell>
          <cell r="K246">
            <v>3.5148908057259224E-4</v>
          </cell>
        </row>
        <row r="247">
          <cell r="B247" t="str">
            <v>D-IH2R</v>
          </cell>
          <cell r="C247" t="str">
            <v>VAR_fin</v>
          </cell>
          <cell r="D247" t="str">
            <v>H2</v>
          </cell>
          <cell r="I247">
            <v>7.7223408374875707E-4</v>
          </cell>
          <cell r="J247">
            <v>5.4116585612000174E-4</v>
          </cell>
          <cell r="K247">
            <v>3.5148908057259224E-4</v>
          </cell>
        </row>
        <row r="248">
          <cell r="B248" t="str">
            <v>D-IH2R</v>
          </cell>
          <cell r="C248" t="str">
            <v>VAR_ncap</v>
          </cell>
          <cell r="D248" t="str">
            <v>-</v>
          </cell>
          <cell r="I248">
            <v>4.3181257824932701E-5</v>
          </cell>
          <cell r="J248">
            <v>4.1592025032002198E-5</v>
          </cell>
          <cell r="K248">
            <v>8.9515825392800192E-6</v>
          </cell>
        </row>
        <row r="249">
          <cell r="B249" t="str">
            <v>D-IH2R</v>
          </cell>
          <cell r="C249" t="str">
            <v>VAR_cap</v>
          </cell>
          <cell r="D249" t="str">
            <v>-</v>
          </cell>
          <cell r="I249">
            <v>6.7934148452853895E-5</v>
          </cell>
          <cell r="J249">
            <v>4.92403724667864E-5</v>
          </cell>
          <cell r="K249">
            <v>2.3197734807863301E-5</v>
          </cell>
        </row>
        <row r="250">
          <cell r="B250" t="str">
            <v>ESOL-PV_E</v>
          </cell>
          <cell r="C250" t="str">
            <v>VAR_fout</v>
          </cell>
          <cell r="D250" t="str">
            <v>CELC_E</v>
          </cell>
          <cell r="I250">
            <v>3.1036845734007265E-6</v>
          </cell>
          <cell r="J250">
            <v>2.4212175478363176E-4</v>
          </cell>
          <cell r="K250">
            <v>2.4117286562802138E-4</v>
          </cell>
        </row>
        <row r="251">
          <cell r="B251" t="str">
            <v>ESOL-PV_E</v>
          </cell>
          <cell r="C251" t="str">
            <v>VAR_fin</v>
          </cell>
          <cell r="D251" t="str">
            <v>SOL</v>
          </cell>
          <cell r="I251">
            <v>3.1036845734007265E-6</v>
          </cell>
          <cell r="J251">
            <v>2.4212175478363176E-4</v>
          </cell>
          <cell r="K251">
            <v>2.4117286562802138E-4</v>
          </cell>
        </row>
        <row r="252">
          <cell r="B252" t="str">
            <v>ESOL-PV_E</v>
          </cell>
          <cell r="C252" t="str">
            <v>VAR_fin</v>
          </cell>
          <cell r="D252" t="str">
            <v>SOLPVC</v>
          </cell>
          <cell r="I252">
            <v>3.1036845734007299E-6</v>
          </cell>
          <cell r="J252">
            <v>2.4212175478363201E-4</v>
          </cell>
          <cell r="K252">
            <v>2.4117286562802101E-4</v>
          </cell>
        </row>
        <row r="253">
          <cell r="B253" t="str">
            <v>ESOL-PV_E</v>
          </cell>
          <cell r="C253" t="str">
            <v>VAR_ncap</v>
          </cell>
          <cell r="D253" t="str">
            <v>-</v>
          </cell>
          <cell r="I253">
            <v>8.9716542707566801E-7</v>
          </cell>
          <cell r="J253">
            <v>6.88233953125247E-5</v>
          </cell>
          <cell r="K253">
            <v>6.1578020782246101E-8</v>
          </cell>
        </row>
        <row r="254">
          <cell r="B254" t="str">
            <v>ESOL-PV_E</v>
          </cell>
          <cell r="C254" t="str">
            <v>VAR_cap</v>
          </cell>
          <cell r="D254" t="str">
            <v>-</v>
          </cell>
          <cell r="I254">
            <v>9.7535952811046893E-7</v>
          </cell>
          <cell r="J254">
            <v>6.97987548406352E-5</v>
          </cell>
          <cell r="K254">
            <v>6.9860332861417396E-5</v>
          </cell>
        </row>
        <row r="255">
          <cell r="B255" t="str">
            <v>EWSTINC</v>
          </cell>
          <cell r="C255" t="str">
            <v>VAR_fout</v>
          </cell>
          <cell r="D255" t="str">
            <v>ELC35</v>
          </cell>
          <cell r="I255">
            <v>7.4918604646762557</v>
          </cell>
          <cell r="J255">
            <v>7.6680260611045545</v>
          </cell>
          <cell r="K255">
            <v>8.0332768964586556</v>
          </cell>
        </row>
        <row r="256">
          <cell r="B256" t="str">
            <v>EWSTINC</v>
          </cell>
          <cell r="C256" t="str">
            <v>VAR_fout</v>
          </cell>
          <cell r="D256" t="str">
            <v>CO2_E</v>
          </cell>
          <cell r="I256">
            <v>1944.9744754117401</v>
          </cell>
          <cell r="J256">
            <v>1990.7091217141101</v>
          </cell>
          <cell r="K256">
            <v>2085.5325044020401</v>
          </cell>
        </row>
        <row r="257">
          <cell r="B257" t="str">
            <v>EWSTINC</v>
          </cell>
          <cell r="C257" t="str">
            <v>VAR_fin</v>
          </cell>
          <cell r="D257" t="str">
            <v>EWST</v>
          </cell>
          <cell r="I257">
            <v>20.958776674695443</v>
          </cell>
          <cell r="J257">
            <v>21.451606915022793</v>
          </cell>
          <cell r="K257">
            <v>22.473410607780629</v>
          </cell>
        </row>
        <row r="258">
          <cell r="B258" t="str">
            <v>EWSTINC</v>
          </cell>
          <cell r="C258" t="str">
            <v>VAR_ncap</v>
          </cell>
          <cell r="D258" t="str">
            <v>-</v>
          </cell>
          <cell r="I258">
            <v>0.10448039621148</v>
          </cell>
          <cell r="J258">
            <v>3.9376205501359098E-2</v>
          </cell>
          <cell r="K258">
            <v>9.1145127374264098E-2</v>
          </cell>
        </row>
        <row r="259">
          <cell r="B259" t="str">
            <v>EWSTINC</v>
          </cell>
          <cell r="C259" t="str">
            <v>VAR_cap</v>
          </cell>
          <cell r="D259" t="str">
            <v>-</v>
          </cell>
          <cell r="I259">
            <v>0.27948867283305273</v>
          </cell>
          <cell r="J259">
            <v>0.28606062440152963</v>
          </cell>
          <cell r="K259">
            <v>0.29968658285126931</v>
          </cell>
        </row>
        <row r="260">
          <cell r="B260" t="str">
            <v>D-IBIO</v>
          </cell>
          <cell r="C260" t="str">
            <v>VAR_fout</v>
          </cell>
          <cell r="D260" t="str">
            <v>IBIO</v>
          </cell>
          <cell r="I260">
            <v>8.4435734597810228</v>
          </cell>
          <cell r="J260">
            <v>8.4435847936737201</v>
          </cell>
          <cell r="K260">
            <v>8.4435851802748534</v>
          </cell>
        </row>
        <row r="261">
          <cell r="B261" t="str">
            <v>D-IBIO</v>
          </cell>
          <cell r="C261" t="str">
            <v>VAR_fin</v>
          </cell>
          <cell r="D261" t="str">
            <v>BIO</v>
          </cell>
          <cell r="I261">
            <v>8.4435734597810228</v>
          </cell>
          <cell r="J261">
            <v>8.4435847936737201</v>
          </cell>
          <cell r="K261">
            <v>8.4435851802748534</v>
          </cell>
        </row>
        <row r="262">
          <cell r="B262" t="str">
            <v>D-EWOD</v>
          </cell>
          <cell r="C262" t="str">
            <v>VAR_fout</v>
          </cell>
          <cell r="D262" t="str">
            <v>EWOD</v>
          </cell>
          <cell r="I262">
            <v>4.2058081072446178</v>
          </cell>
          <cell r="J262">
            <v>4.0442359414562477</v>
          </cell>
          <cell r="K262">
            <v>0.40339698003153018</v>
          </cell>
        </row>
        <row r="263">
          <cell r="B263" t="str">
            <v>D-EWOD</v>
          </cell>
          <cell r="C263" t="str">
            <v>VAR_fin</v>
          </cell>
          <cell r="D263" t="str">
            <v>WOD</v>
          </cell>
          <cell r="I263">
            <v>4.2058081072446178</v>
          </cell>
          <cell r="J263">
            <v>4.0442359414562477</v>
          </cell>
          <cell r="K263">
            <v>0.40339698003153018</v>
          </cell>
        </row>
        <row r="264">
          <cell r="B264" t="str">
            <v>HPLWOD</v>
          </cell>
          <cell r="C264" t="str">
            <v>VAR_fout</v>
          </cell>
          <cell r="D264" t="str">
            <v>LTH</v>
          </cell>
          <cell r="I264">
            <v>0.52542766437690713</v>
          </cell>
          <cell r="J264">
            <v>0.40656643687840527</v>
          </cell>
          <cell r="K264">
            <v>0.2434276139704214</v>
          </cell>
        </row>
        <row r="265">
          <cell r="B265" t="str">
            <v>HPLWOD</v>
          </cell>
          <cell r="C265" t="str">
            <v>VAR_fin</v>
          </cell>
          <cell r="D265" t="str">
            <v>EWOD</v>
          </cell>
          <cell r="I265">
            <v>0.75061094910986781</v>
          </cell>
          <cell r="J265">
            <v>0.58080919554057953</v>
          </cell>
          <cell r="K265">
            <v>0.34775373424345873</v>
          </cell>
        </row>
        <row r="266">
          <cell r="B266" t="str">
            <v>HPLWOD</v>
          </cell>
          <cell r="C266" t="str">
            <v>VAR_ncap</v>
          </cell>
          <cell r="D266" t="str">
            <v>-</v>
          </cell>
          <cell r="I266">
            <v>3.9423163281100402E-7</v>
          </cell>
          <cell r="J266">
            <v>1.2317225915292401E-3</v>
          </cell>
          <cell r="K266">
            <v>3.2430515176003497E-2</v>
          </cell>
        </row>
        <row r="267">
          <cell r="B267" t="str">
            <v>HPLWOD</v>
          </cell>
          <cell r="C267" t="str">
            <v>VAR_cap</v>
          </cell>
          <cell r="D267" t="str">
            <v>-</v>
          </cell>
          <cell r="I267">
            <v>0.14385168398874701</v>
          </cell>
          <cell r="J267">
            <v>5.1569298773066E-2</v>
          </cell>
          <cell r="K267">
            <v>3.3662585820230503E-2</v>
          </cell>
        </row>
        <row r="268">
          <cell r="B268" t="str">
            <v>ENGA-GTCC</v>
          </cell>
          <cell r="C268" t="str">
            <v>VAR_fout</v>
          </cell>
          <cell r="D268" t="str">
            <v>ELC13</v>
          </cell>
          <cell r="I268"/>
          <cell r="J268">
            <v>5.8878249559331426E-4</v>
          </cell>
          <cell r="K268">
            <v>5.9207961521121364</v>
          </cell>
        </row>
        <row r="269">
          <cell r="B269" t="str">
            <v>ENGA-GTCC</v>
          </cell>
          <cell r="C269" t="str">
            <v>VAR_fout</v>
          </cell>
          <cell r="D269" t="str">
            <v>CO2_E</v>
          </cell>
          <cell r="I269"/>
          <cell r="J269">
            <v>5.8003186054648402E-2</v>
          </cell>
          <cell r="K269">
            <v>532.16400119205696</v>
          </cell>
        </row>
        <row r="270">
          <cell r="B270" t="str">
            <v>ENGA-GTCC</v>
          </cell>
          <cell r="C270" t="str">
            <v>VAR_fin</v>
          </cell>
          <cell r="D270" t="str">
            <v>ENGA</v>
          </cell>
          <cell r="I270"/>
          <cell r="J270">
            <v>1.0284252846568869E-3</v>
          </cell>
          <cell r="K270">
            <v>9.4355319360293795</v>
          </cell>
        </row>
        <row r="271">
          <cell r="B271" t="str">
            <v>ENGA-GTCC</v>
          </cell>
          <cell r="C271" t="str">
            <v>VAR_fin</v>
          </cell>
          <cell r="D271" t="str">
            <v>GTC</v>
          </cell>
          <cell r="I271"/>
          <cell r="J271">
            <v>7.0594496631054405E-5</v>
          </cell>
          <cell r="K271">
            <v>0.24954633883735847</v>
          </cell>
        </row>
        <row r="272">
          <cell r="B272" t="str">
            <v>ENGA-GTCC</v>
          </cell>
          <cell r="C272" t="str">
            <v>VAR_ncap</v>
          </cell>
          <cell r="D272" t="str">
            <v>-</v>
          </cell>
          <cell r="I272"/>
          <cell r="J272">
            <v>1.4661704847376901E-4</v>
          </cell>
          <cell r="K272">
            <v>0.33704310678684601</v>
          </cell>
        </row>
        <row r="273">
          <cell r="B273" t="str">
            <v>ENGA-GTCC</v>
          </cell>
          <cell r="C273" t="str">
            <v>VAR_cap</v>
          </cell>
          <cell r="D273" t="str">
            <v>-</v>
          </cell>
          <cell r="I273"/>
          <cell r="J273">
            <v>7.0594496631054405E-5</v>
          </cell>
          <cell r="K273">
            <v>0.24954633883735869</v>
          </cell>
        </row>
        <row r="274">
          <cell r="B274" t="str">
            <v>D-SNGA</v>
          </cell>
          <cell r="C274" t="str">
            <v>VAR_fout</v>
          </cell>
          <cell r="D274" t="str">
            <v>CO2</v>
          </cell>
          <cell r="I274">
            <v>1803.6444100897399</v>
          </cell>
          <cell r="J274">
            <v>1600.25803571559</v>
          </cell>
          <cell r="K274">
            <v>699.07539701906899</v>
          </cell>
        </row>
        <row r="275">
          <cell r="B275" t="str">
            <v>D-SNGA</v>
          </cell>
          <cell r="C275" t="str">
            <v>VAR_fout</v>
          </cell>
          <cell r="D275" t="str">
            <v>SNGA</v>
          </cell>
          <cell r="I275">
            <v>31.877870008880056</v>
          </cell>
          <cell r="J275">
            <v>28.283038953024867</v>
          </cell>
          <cell r="K275">
            <v>12.355513374657669</v>
          </cell>
        </row>
        <row r="276">
          <cell r="B276" t="str">
            <v>D-SNGA</v>
          </cell>
          <cell r="C276" t="str">
            <v>VAR_fin</v>
          </cell>
          <cell r="D276" t="str">
            <v>NGA</v>
          </cell>
          <cell r="I276">
            <v>31.979510817193916</v>
          </cell>
          <cell r="J276">
            <v>28.373369427581327</v>
          </cell>
          <cell r="K276">
            <v>12.394953847855822</v>
          </cell>
        </row>
        <row r="277">
          <cell r="B277" t="str">
            <v>D-SNGA</v>
          </cell>
          <cell r="C277" t="str">
            <v>VAR_fin</v>
          </cell>
          <cell r="D277" t="str">
            <v>BNGA</v>
          </cell>
          <cell r="I277">
            <v>1.9685964223434607E-4</v>
          </cell>
          <cell r="J277">
            <v>2.3075692810377896E-5</v>
          </cell>
          <cell r="K277">
            <v>3.2653780247643127E-5</v>
          </cell>
        </row>
        <row r="278">
          <cell r="B278" t="str">
            <v>D-SNGA</v>
          </cell>
          <cell r="C278" t="str">
            <v>VAR_ncap</v>
          </cell>
          <cell r="D278" t="str">
            <v>-</v>
          </cell>
          <cell r="I278">
            <v>3.28897315171786E-8</v>
          </cell>
          <cell r="J278">
            <v>4.6723945953841202E-8</v>
          </cell>
          <cell r="K278">
            <v>1.03688564287008E-7</v>
          </cell>
        </row>
        <row r="279">
          <cell r="B279" t="str">
            <v>D-SNGA</v>
          </cell>
          <cell r="C279" t="str">
            <v>VAR_cap</v>
          </cell>
          <cell r="D279" t="str">
            <v>-</v>
          </cell>
          <cell r="I279">
            <v>2.2350523351882314</v>
          </cell>
          <cell r="J279">
            <v>2.2350523819121775</v>
          </cell>
          <cell r="K279">
            <v>1.1208907864644615</v>
          </cell>
        </row>
        <row r="280">
          <cell r="B280" t="str">
            <v>RHES-CHPWOD</v>
          </cell>
          <cell r="C280" t="str">
            <v>VAR_fout</v>
          </cell>
          <cell r="D280" t="str">
            <v>RHES_KEV_WOD_ELC_CHP</v>
          </cell>
          <cell r="I280">
            <v>8.8920988074359821E-5</v>
          </cell>
          <cell r="J280">
            <v>6.8848516004831558E-5</v>
          </cell>
          <cell r="K280">
            <v>6.2422509133882575E-5</v>
          </cell>
        </row>
        <row r="281">
          <cell r="B281" t="str">
            <v>RHES-CHPWOD</v>
          </cell>
          <cell r="C281" t="str">
            <v>VAR_fout</v>
          </cell>
          <cell r="D281" t="str">
            <v>RHES_LTH_CHPWOD</v>
          </cell>
          <cell r="I281">
            <v>2.350885637814746E-4</v>
          </cell>
          <cell r="J281">
            <v>1.781810219488437E-4</v>
          </cell>
          <cell r="K281">
            <v>1.5513968616212651E-4</v>
          </cell>
        </row>
        <row r="282">
          <cell r="B282" t="str">
            <v>RHES-CHPWOD</v>
          </cell>
          <cell r="C282" t="str">
            <v>VAR_fin</v>
          </cell>
          <cell r="D282" t="str">
            <v>RWOD</v>
          </cell>
          <cell r="I282">
            <v>4.5395379106192034E-4</v>
          </cell>
          <cell r="J282">
            <v>3.1252037908082451E-4</v>
          </cell>
          <cell r="K282">
            <v>3.5319792338029283E-4</v>
          </cell>
        </row>
        <row r="283">
          <cell r="B283" t="str">
            <v>RHES-CHPWOD</v>
          </cell>
          <cell r="C283" t="str">
            <v>VAR_ncap</v>
          </cell>
          <cell r="D283" t="str">
            <v>-</v>
          </cell>
          <cell r="I283">
            <v>2.39590729895419E-6</v>
          </cell>
          <cell r="J283">
            <v>3.3872094884127197E-8</v>
          </cell>
          <cell r="K283">
            <v>4.4964901581849498E-6</v>
          </cell>
        </row>
        <row r="284">
          <cell r="B284" t="str">
            <v>RHES-CHPWOD</v>
          </cell>
          <cell r="C284" t="str">
            <v>VAR_cap</v>
          </cell>
          <cell r="D284" t="str">
            <v>-</v>
          </cell>
          <cell r="I284">
            <v>7.8968346324567301E-6</v>
          </cell>
          <cell r="J284">
            <v>6.1868374530317697E-6</v>
          </cell>
          <cell r="K284">
            <v>5.5345282455384698E-6</v>
          </cell>
        </row>
        <row r="285">
          <cell r="B285" t="str">
            <v>G-INTC-RES</v>
          </cell>
          <cell r="C285" t="str">
            <v>VAR_fout</v>
          </cell>
          <cell r="D285" t="str">
            <v>RHNS_ELC</v>
          </cell>
          <cell r="I285">
            <v>15.063769655335381</v>
          </cell>
          <cell r="J285">
            <v>15.110069017694393</v>
          </cell>
          <cell r="K285">
            <v>15.264607396895128</v>
          </cell>
        </row>
        <row r="286">
          <cell r="B286" t="str">
            <v>G-INTC-RES</v>
          </cell>
          <cell r="C286" t="str">
            <v>VAR_fout</v>
          </cell>
          <cell r="D286" t="str">
            <v>ELC35</v>
          </cell>
          <cell r="I286">
            <v>1.9899361284855712E-4</v>
          </cell>
          <cell r="J286">
            <v>1.354856844780217E-4</v>
          </cell>
          <cell r="K286">
            <v>9.3530604254069287E-5</v>
          </cell>
        </row>
        <row r="287">
          <cell r="B287" t="str">
            <v>G-INTC-RES</v>
          </cell>
          <cell r="C287" t="str">
            <v>VAR_fout</v>
          </cell>
          <cell r="D287" t="str">
            <v>RHES_ELC</v>
          </cell>
          <cell r="I287">
            <v>17.314616948625023</v>
          </cell>
          <cell r="J287">
            <v>17.280847231823156</v>
          </cell>
          <cell r="K287">
            <v>16.921969198622779</v>
          </cell>
        </row>
        <row r="288">
          <cell r="B288" t="str">
            <v>G-INTC-RES</v>
          </cell>
          <cell r="C288" t="str">
            <v>VAR_fout</v>
          </cell>
          <cell r="D288" t="str">
            <v>RHNM_ELC</v>
          </cell>
          <cell r="I288">
            <v>13.90583949591702</v>
          </cell>
          <cell r="J288">
            <v>13.802687195308065</v>
          </cell>
          <cell r="K288">
            <v>14.023420938815496</v>
          </cell>
        </row>
        <row r="289">
          <cell r="B289" t="str">
            <v>G-INTC-RES</v>
          </cell>
          <cell r="C289" t="str">
            <v>VAR_fout</v>
          </cell>
          <cell r="D289" t="str">
            <v>RHEM_ELC</v>
          </cell>
          <cell r="I289">
            <v>15.937397561590542</v>
          </cell>
          <cell r="J289">
            <v>15.985057451100417</v>
          </cell>
          <cell r="K289">
            <v>16.561717581065579</v>
          </cell>
        </row>
        <row r="290">
          <cell r="B290" t="str">
            <v>G-INTC-RES</v>
          </cell>
          <cell r="C290" t="str">
            <v>VAR_fin</v>
          </cell>
          <cell r="D290" t="str">
            <v>ELC5</v>
          </cell>
          <cell r="I290">
            <v>62.221822655080828</v>
          </cell>
          <cell r="J290">
            <v>62.178791745605601</v>
          </cell>
          <cell r="K290">
            <v>62.771804403019608</v>
          </cell>
        </row>
        <row r="291">
          <cell r="B291" t="str">
            <v>G-INTC-RES</v>
          </cell>
          <cell r="C291" t="str">
            <v>VAR_ncap</v>
          </cell>
          <cell r="D291" t="str">
            <v>-</v>
          </cell>
          <cell r="I291">
            <v>1.13882056901621E-8</v>
          </cell>
          <cell r="J291">
            <v>1.5431949842144001E-8</v>
          </cell>
          <cell r="K291">
            <v>2.7337196044355699E-8</v>
          </cell>
        </row>
        <row r="292">
          <cell r="B292" t="str">
            <v>G-INTC-RES</v>
          </cell>
          <cell r="C292" t="str">
            <v>VAR_cap</v>
          </cell>
          <cell r="D292" t="str">
            <v>-</v>
          </cell>
          <cell r="I292">
            <v>4.3300925170252134</v>
          </cell>
          <cell r="J292">
            <v>4.3300925331012499</v>
          </cell>
          <cell r="K292">
            <v>4.3300925613314263</v>
          </cell>
        </row>
        <row r="293">
          <cell r="B293" t="str">
            <v>SCOM-CHPNGA</v>
          </cell>
          <cell r="C293" t="str">
            <v>VAR_fout</v>
          </cell>
          <cell r="D293" t="str">
            <v>CO2_S</v>
          </cell>
          <cell r="I293">
            <v>674.07465324301097</v>
          </cell>
          <cell r="J293">
            <v>633.64427318138803</v>
          </cell>
          <cell r="K293">
            <v>5.00737059838985E-2</v>
          </cell>
        </row>
        <row r="294">
          <cell r="B294" t="str">
            <v>SCOM-CHPNGA</v>
          </cell>
          <cell r="C294" t="str">
            <v>VAR_fout</v>
          </cell>
          <cell r="D294" t="str">
            <v>SCOM_NKEV_GAS_ELC_CHP</v>
          </cell>
          <cell r="I294">
            <v>4.3020662229307778</v>
          </cell>
          <cell r="J294">
            <v>4.0442530012483804</v>
          </cell>
          <cell r="K294">
            <v>2.3390443955564736E-4</v>
          </cell>
        </row>
        <row r="295">
          <cell r="B295" t="str">
            <v>SCOM-CHPNGA</v>
          </cell>
          <cell r="C295" t="str">
            <v>VAR_fout</v>
          </cell>
          <cell r="D295" t="str">
            <v>SCOM_LTH_CHPNGA</v>
          </cell>
          <cell r="I295">
            <v>6.0929871788388006</v>
          </cell>
          <cell r="J295">
            <v>6.066379501872567</v>
          </cell>
          <cell r="K295">
            <v>3.5085665933347126E-4</v>
          </cell>
        </row>
        <row r="296">
          <cell r="B296" t="str">
            <v>SCOM-CHPNGA</v>
          </cell>
          <cell r="C296" t="str">
            <v>VAR_fin</v>
          </cell>
          <cell r="D296" t="str">
            <v>SNGA</v>
          </cell>
          <cell r="I296">
            <v>11.951678248989555</v>
          </cell>
          <cell r="J296">
            <v>11.234827538677116</v>
          </cell>
          <cell r="K296">
            <v>8.8783166638117935E-4</v>
          </cell>
        </row>
        <row r="297">
          <cell r="B297" t="str">
            <v>SCOM-CHPNGA</v>
          </cell>
          <cell r="C297" t="str">
            <v>VAR_ncap</v>
          </cell>
          <cell r="D297" t="str">
            <v>-</v>
          </cell>
          <cell r="I297">
            <v>0.22324506777798001</v>
          </cell>
          <cell r="J297">
            <v>3.8144857618658298E-7</v>
          </cell>
          <cell r="K297">
            <v>2.2375631416563401E-8</v>
          </cell>
        </row>
        <row r="298">
          <cell r="B298" t="str">
            <v>SCOM-CHPNGA</v>
          </cell>
          <cell r="C298" t="str">
            <v>VAR_cap</v>
          </cell>
          <cell r="D298" t="str">
            <v>-</v>
          </cell>
          <cell r="I298">
            <v>0.25248273227273454</v>
          </cell>
          <cell r="J298">
            <v>0.23735196538680967</v>
          </cell>
          <cell r="K298">
            <v>3.812149114099106E-5</v>
          </cell>
        </row>
        <row r="299">
          <cell r="B299" t="str">
            <v>D-IPLT</v>
          </cell>
          <cell r="C299" t="str">
            <v>VAR_fout</v>
          </cell>
          <cell r="D299" t="str">
            <v>IPLT</v>
          </cell>
          <cell r="I299">
            <v>0.73221172226100473</v>
          </cell>
          <cell r="J299">
            <v>0.73016688086640202</v>
          </cell>
          <cell r="K299">
            <v>0.72611101028490466</v>
          </cell>
        </row>
        <row r="300">
          <cell r="B300" t="str">
            <v>D-IPLT</v>
          </cell>
          <cell r="C300" t="str">
            <v>VAR_fin</v>
          </cell>
          <cell r="D300" t="str">
            <v>PLT</v>
          </cell>
          <cell r="I300">
            <v>0.73221172226100473</v>
          </cell>
          <cell r="J300">
            <v>0.73016688086640202</v>
          </cell>
          <cell r="K300">
            <v>0.72611101028490466</v>
          </cell>
        </row>
        <row r="301">
          <cell r="B301" t="str">
            <v>LTH-STG</v>
          </cell>
          <cell r="C301" t="str">
            <v>VAR_fout</v>
          </cell>
          <cell r="D301" t="str">
            <v>AUX_LTH-STG_OUT</v>
          </cell>
          <cell r="I301">
            <v>1.6613822470492112E-4</v>
          </cell>
          <cell r="J301">
            <v>2.481190094798172E-4</v>
          </cell>
          <cell r="K301">
            <v>0.11345184360620081</v>
          </cell>
        </row>
        <row r="302">
          <cell r="B302" t="str">
            <v>LTH-STG</v>
          </cell>
          <cell r="C302" t="str">
            <v>VAR_fout</v>
          </cell>
          <cell r="D302" t="str">
            <v>LTH</v>
          </cell>
          <cell r="I302">
            <v>1.6629092527909814E-4</v>
          </cell>
          <cell r="J302">
            <v>2.4811900947981644E-4</v>
          </cell>
          <cell r="K302">
            <v>0.11345184360620075</v>
          </cell>
        </row>
        <row r="303">
          <cell r="B303" t="str">
            <v>LTH-STG</v>
          </cell>
          <cell r="C303" t="str">
            <v>VAR_fin</v>
          </cell>
          <cell r="D303" t="str">
            <v>AUX_LTH-STG_IN</v>
          </cell>
          <cell r="I303">
            <v>2.0155657797454277E-4</v>
          </cell>
          <cell r="J303">
            <v>2.918965370955785E-4</v>
          </cell>
          <cell r="K303">
            <v>0.126057600013118</v>
          </cell>
        </row>
        <row r="304">
          <cell r="B304" t="str">
            <v>LTH-STG</v>
          </cell>
          <cell r="C304" t="str">
            <v>VAR_fin</v>
          </cell>
          <cell r="D304" t="str">
            <v>LTH</v>
          </cell>
          <cell r="I304">
            <v>2.0155657797454277E-4</v>
          </cell>
          <cell r="J304">
            <v>2.918965370955785E-4</v>
          </cell>
          <cell r="K304">
            <v>0.126057600013118</v>
          </cell>
        </row>
        <row r="305">
          <cell r="B305" t="str">
            <v>LTH-STG</v>
          </cell>
          <cell r="C305" t="str">
            <v>VAR_ncap</v>
          </cell>
          <cell r="D305" t="str">
            <v>-</v>
          </cell>
          <cell r="I305">
            <v>2.0182182184466001E-5</v>
          </cell>
          <cell r="J305">
            <v>6.6008747762215599E-6</v>
          </cell>
          <cell r="K305">
            <v>4.5495818049456203E-2</v>
          </cell>
        </row>
        <row r="306">
          <cell r="B306" t="str">
            <v>LTH-STG</v>
          </cell>
          <cell r="C306" t="str">
            <v>VAR_cap</v>
          </cell>
          <cell r="D306" t="str">
            <v>-</v>
          </cell>
          <cell r="I306">
            <v>2.8456876635405543E-5</v>
          </cell>
          <cell r="J306">
            <v>2.8341373933383717E-5</v>
          </cell>
          <cell r="K306">
            <v>4.551831209514437E-2</v>
          </cell>
        </row>
        <row r="307">
          <cell r="B307" t="str">
            <v>ITOT-CHPOIL</v>
          </cell>
          <cell r="C307" t="str">
            <v>VAR_fout</v>
          </cell>
          <cell r="D307" t="str">
            <v>ITOT_LTH_CHP</v>
          </cell>
          <cell r="I307">
            <v>0.84856439020074048</v>
          </cell>
          <cell r="J307">
            <v>3.6401767078845015E-2</v>
          </cell>
          <cell r="K307">
            <v>4.3142494597007697E-2</v>
          </cell>
        </row>
        <row r="308">
          <cell r="B308" t="str">
            <v>ITOT-CHPOIL</v>
          </cell>
          <cell r="C308" t="str">
            <v>VAR_fout</v>
          </cell>
          <cell r="D308" t="str">
            <v>ITOT_NKEV_OIL_ELC_CHP</v>
          </cell>
          <cell r="I308">
            <v>0.17115073184185231</v>
          </cell>
          <cell r="J308">
            <v>1.6421454979831902E-2</v>
          </cell>
          <cell r="K308">
            <v>1.9462311574267709E-2</v>
          </cell>
        </row>
        <row r="309">
          <cell r="B309" t="str">
            <v>ITOT-CHPOIL</v>
          </cell>
          <cell r="C309" t="str">
            <v>VAR_fout</v>
          </cell>
          <cell r="D309" t="str">
            <v>CO2_I</v>
          </cell>
          <cell r="I309">
            <v>47.890941701084401</v>
          </cell>
          <cell r="J309">
            <v>4.6061712099834997</v>
          </cell>
          <cell r="K309">
            <v>5.54179435397005</v>
          </cell>
        </row>
        <row r="310">
          <cell r="B310" t="str">
            <v>ITOT-CHPOIL</v>
          </cell>
          <cell r="C310" t="str">
            <v>VAR_fin</v>
          </cell>
          <cell r="D310" t="str">
            <v>ILFO</v>
          </cell>
          <cell r="I310">
            <v>0.64980924967550091</v>
          </cell>
          <cell r="J310">
            <v>6.2498930936004102E-2</v>
          </cell>
          <cell r="K310">
            <v>7.5193953242470191E-2</v>
          </cell>
        </row>
        <row r="311">
          <cell r="B311" t="str">
            <v>ITOT-CHPOIL</v>
          </cell>
          <cell r="C311" t="str">
            <v>VAR_ncap</v>
          </cell>
          <cell r="D311" t="str">
            <v>-</v>
          </cell>
          <cell r="I311">
            <v>3.4040151487090701E-3</v>
          </cell>
          <cell r="J311">
            <v>2.8589216606497301E-2</v>
          </cell>
          <cell r="K311">
            <v>2.7690429770510099E-2</v>
          </cell>
        </row>
        <row r="312">
          <cell r="B312" t="str">
            <v>ITOT-CHPOIL</v>
          </cell>
          <cell r="C312" t="str">
            <v>VAR_cap</v>
          </cell>
          <cell r="D312" t="str">
            <v>-</v>
          </cell>
          <cell r="I312">
            <v>2.2653293558942522E-2</v>
          </cell>
          <cell r="J312">
            <v>4.2053728306829706E-2</v>
          </cell>
          <cell r="K312">
            <v>4.9878410280052639E-2</v>
          </cell>
        </row>
        <row r="313">
          <cell r="B313" t="str">
            <v>ENUC_GOE</v>
          </cell>
          <cell r="C313" t="str">
            <v>VAR_fout</v>
          </cell>
          <cell r="D313" t="str">
            <v>ELC</v>
          </cell>
          <cell r="I313"/>
          <cell r="J313"/>
          <cell r="K313"/>
        </row>
        <row r="314">
          <cell r="B314" t="str">
            <v>ENUC_GOE</v>
          </cell>
          <cell r="C314" t="str">
            <v>VAR_fin</v>
          </cell>
          <cell r="D314" t="str">
            <v>URN</v>
          </cell>
          <cell r="I314"/>
          <cell r="J314"/>
          <cell r="K314"/>
        </row>
        <row r="315">
          <cell r="B315" t="str">
            <v>ENUC_GOE</v>
          </cell>
          <cell r="C315" t="str">
            <v>VAR_cap</v>
          </cell>
          <cell r="D315" t="str">
            <v>-</v>
          </cell>
          <cell r="I315"/>
          <cell r="J315"/>
          <cell r="K315"/>
        </row>
        <row r="316">
          <cell r="B316" t="str">
            <v>D-RNGA</v>
          </cell>
          <cell r="C316" t="str">
            <v>VAR_fout</v>
          </cell>
          <cell r="D316" t="str">
            <v>CO2</v>
          </cell>
          <cell r="I316">
            <v>2382.92314669793</v>
          </cell>
          <cell r="J316">
            <v>2185.2956780280001</v>
          </cell>
          <cell r="K316">
            <v>1522.4874510222801</v>
          </cell>
        </row>
        <row r="317">
          <cell r="B317" t="str">
            <v>D-RNGA</v>
          </cell>
          <cell r="C317" t="str">
            <v>VAR_fout</v>
          </cell>
          <cell r="D317" t="str">
            <v>RNGA</v>
          </cell>
          <cell r="I317">
            <v>42.116063040669523</v>
          </cell>
          <cell r="J317">
            <v>38.623014541000167</v>
          </cell>
          <cell r="K317">
            <v>26.908528500984712</v>
          </cell>
        </row>
        <row r="318">
          <cell r="B318" t="str">
            <v>D-RNGA</v>
          </cell>
          <cell r="C318" t="str">
            <v>VAR_fin</v>
          </cell>
          <cell r="D318" t="str">
            <v>NGA</v>
          </cell>
          <cell r="I318">
            <v>42.250410402445574</v>
          </cell>
          <cell r="J318">
            <v>38.746377269999961</v>
          </cell>
          <cell r="K318">
            <v>26.994458351458817</v>
          </cell>
        </row>
        <row r="319">
          <cell r="B319" t="str">
            <v>D-RNGA</v>
          </cell>
          <cell r="C319" t="str">
            <v>VAR_fin</v>
          </cell>
          <cell r="D319" t="str">
            <v>BNGA</v>
          </cell>
          <cell r="I319">
            <v>1.9743818574950362E-4</v>
          </cell>
          <cell r="J319">
            <v>2.3109802883092806E-5</v>
          </cell>
          <cell r="K319">
            <v>3.2661761072874723E-5</v>
          </cell>
        </row>
        <row r="320">
          <cell r="B320" t="str">
            <v>D-RNGA</v>
          </cell>
          <cell r="C320" t="str">
            <v>VAR_ncap</v>
          </cell>
          <cell r="D320" t="str">
            <v>-</v>
          </cell>
          <cell r="I320">
            <v>1.8600135513771799E-8</v>
          </cell>
          <cell r="J320">
            <v>2.65359014397869E-8</v>
          </cell>
          <cell r="K320">
            <v>6.2963462165374097E-7</v>
          </cell>
        </row>
        <row r="321">
          <cell r="B321" t="str">
            <v>D-RNGA</v>
          </cell>
          <cell r="C321" t="str">
            <v>VAR_cap</v>
          </cell>
          <cell r="D321" t="str">
            <v>-</v>
          </cell>
          <cell r="I321">
            <v>3.097240100412074</v>
          </cell>
          <cell r="J321">
            <v>3.0972401269479755</v>
          </cell>
          <cell r="K321">
            <v>1.553282997222897</v>
          </cell>
        </row>
        <row r="322">
          <cell r="B322" t="str">
            <v>RHES-CHPGFC</v>
          </cell>
          <cell r="C322" t="str">
            <v>VAR_fout</v>
          </cell>
          <cell r="D322" t="str">
            <v>CO2_R</v>
          </cell>
          <cell r="I322">
            <v>7.0817063148001496E-3</v>
          </cell>
          <cell r="J322">
            <v>7.2186818478725302E-3</v>
          </cell>
          <cell r="K322">
            <v>6.3997738709318597E-3</v>
          </cell>
        </row>
        <row r="323">
          <cell r="B323" t="str">
            <v>RHES-CHPGFC</v>
          </cell>
          <cell r="C323" t="str">
            <v>VAR_fout</v>
          </cell>
          <cell r="D323" t="str">
            <v>RHES_NKEV_GAS_ELC_CHP</v>
          </cell>
          <cell r="I323">
            <v>5.3991732541916014E-5</v>
          </cell>
          <cell r="J323">
            <v>5.6315957678438117E-5</v>
          </cell>
          <cell r="K323">
            <v>5.1062025565945682E-5</v>
          </cell>
        </row>
        <row r="324">
          <cell r="B324" t="str">
            <v>RHES-CHPGFC</v>
          </cell>
          <cell r="C324" t="str">
            <v>VAR_fout</v>
          </cell>
          <cell r="D324" t="str">
            <v>RHES_LTH_CHPNGA</v>
          </cell>
          <cell r="I324">
            <v>5.885098847068844E-5</v>
          </cell>
          <cell r="J324">
            <v>5.9694915139144404E-5</v>
          </cell>
          <cell r="K324">
            <v>5.1062025565945682E-5</v>
          </cell>
        </row>
        <row r="325">
          <cell r="B325" t="str">
            <v>RHES-CHPGFC</v>
          </cell>
          <cell r="C325" t="str">
            <v>VAR_fin</v>
          </cell>
          <cell r="D325" t="str">
            <v>RNGA</v>
          </cell>
          <cell r="I325">
            <v>1.2556216870213027E-4</v>
          </cell>
          <cell r="J325">
            <v>1.2799081290554119E-4</v>
          </cell>
          <cell r="K325">
            <v>1.1347116792432372E-4</v>
          </cell>
        </row>
        <row r="326">
          <cell r="B326" t="str">
            <v>RHES-CHPGFC</v>
          </cell>
          <cell r="C326" t="str">
            <v>VAR_ncap</v>
          </cell>
          <cell r="D326" t="str">
            <v>-</v>
          </cell>
          <cell r="I326">
            <v>3.0492373122164798E-6</v>
          </cell>
          <cell r="J326">
            <v>2.0436046535122899E-7</v>
          </cell>
          <cell r="K326">
            <v>1.41790279843752E-6</v>
          </cell>
        </row>
        <row r="327">
          <cell r="B327" t="str">
            <v>RHES-CHPGFC</v>
          </cell>
          <cell r="C327" t="str">
            <v>VAR_cap</v>
          </cell>
          <cell r="D327" t="str">
            <v>-</v>
          </cell>
          <cell r="I327">
            <v>4.7613431780840597E-6</v>
          </cell>
          <cell r="J327">
            <v>4.9657036434352897E-6</v>
          </cell>
          <cell r="K327">
            <v>4.4942849868616983E-6</v>
          </cell>
        </row>
        <row r="328">
          <cell r="B328" t="str">
            <v>G-INTC-TRA</v>
          </cell>
          <cell r="C328" t="str">
            <v>VAR_fout</v>
          </cell>
          <cell r="D328" t="str">
            <v>TRAN_ELC</v>
          </cell>
          <cell r="I328">
            <v>39.063018188006332</v>
          </cell>
          <cell r="J328">
            <v>49.037752869970987</v>
          </cell>
          <cell r="K328">
            <v>52.355226530875399</v>
          </cell>
        </row>
        <row r="329">
          <cell r="B329" t="str">
            <v>G-INTC-TRA</v>
          </cell>
          <cell r="C329" t="str">
            <v>VAR_fin</v>
          </cell>
          <cell r="D329" t="str">
            <v>ELC3</v>
          </cell>
          <cell r="I329">
            <v>39.062305365017131</v>
          </cell>
          <cell r="J329">
            <v>25.600591571823099</v>
          </cell>
          <cell r="K329">
            <v>24.023759009420697</v>
          </cell>
        </row>
        <row r="330">
          <cell r="B330" t="str">
            <v>G-INTC-TRA</v>
          </cell>
          <cell r="C330" t="str">
            <v>VAR_fin</v>
          </cell>
          <cell r="D330" t="str">
            <v>ELC5</v>
          </cell>
          <cell r="I330">
            <v>7.1282298921616829E-4</v>
          </cell>
          <cell r="J330">
            <v>23.437161298147881</v>
          </cell>
          <cell r="K330">
            <v>28.331467521454734</v>
          </cell>
        </row>
        <row r="331">
          <cell r="B331" t="str">
            <v>G-INTC-TRA</v>
          </cell>
          <cell r="C331" t="str">
            <v>VAR_ncap</v>
          </cell>
          <cell r="D331" t="str">
            <v>-</v>
          </cell>
          <cell r="I331">
            <v>0.43716815653409402</v>
          </cell>
          <cell r="J331">
            <v>1.4105635975566301E-5</v>
          </cell>
          <cell r="K331">
            <v>0.14779465895313401</v>
          </cell>
        </row>
        <row r="332">
          <cell r="B332" t="str">
            <v>G-INTC-TRA</v>
          </cell>
          <cell r="C332" t="str">
            <v>VAR_cap</v>
          </cell>
          <cell r="D332" t="str">
            <v>-</v>
          </cell>
          <cell r="I332">
            <v>1.2511924719098739</v>
          </cell>
          <cell r="J332">
            <v>1.5830895132799281</v>
          </cell>
          <cell r="K332">
            <v>1.6924595531858411</v>
          </cell>
        </row>
        <row r="333">
          <cell r="B333" t="str">
            <v>SCOM-SWHSTG-CHPBIO</v>
          </cell>
          <cell r="C333" t="str">
            <v>VAR_fout</v>
          </cell>
          <cell r="D333" t="str">
            <v>AUX_SCOM-CHPBIO_OUT</v>
          </cell>
          <cell r="I333">
            <v>10.472557127255577</v>
          </cell>
          <cell r="J333">
            <v>13.364213386418303</v>
          </cell>
          <cell r="K333">
            <v>99.584765907082314</v>
          </cell>
        </row>
        <row r="334">
          <cell r="B334" t="str">
            <v>SCOM-SWHSTG-CHPBIO</v>
          </cell>
          <cell r="C334" t="str">
            <v>VAR_fout</v>
          </cell>
          <cell r="D334" t="str">
            <v>SCOM_LTH_CHPBIO</v>
          </cell>
          <cell r="I334">
            <v>10.484206245305909</v>
          </cell>
          <cell r="J334">
            <v>13.364213386418291</v>
          </cell>
          <cell r="K334">
            <v>99.584765907082314</v>
          </cell>
        </row>
        <row r="335">
          <cell r="B335" t="str">
            <v>SCOM-SWHSTG-CHPBIO</v>
          </cell>
          <cell r="C335" t="str">
            <v>VAR_fin</v>
          </cell>
          <cell r="D335" t="str">
            <v>SCOM_LTH_CHPBIO</v>
          </cell>
          <cell r="I335">
            <v>11.649115807917273</v>
          </cell>
          <cell r="J335">
            <v>14.370120411728074</v>
          </cell>
          <cell r="K335">
            <v>100.59067288635454</v>
          </cell>
        </row>
        <row r="336">
          <cell r="B336" t="str">
            <v>SCOM-SWHSTG-CHPBIO</v>
          </cell>
          <cell r="C336" t="str">
            <v>VAR_fin</v>
          </cell>
          <cell r="D336" t="str">
            <v>AUX_SCOM-CHPBIO_IN</v>
          </cell>
          <cell r="I336">
            <v>11.649115807917273</v>
          </cell>
          <cell r="J336">
            <v>14.370120411728074</v>
          </cell>
          <cell r="K336">
            <v>100.59067288635454</v>
          </cell>
        </row>
        <row r="337">
          <cell r="B337" t="str">
            <v>SCOM-SWHSTG-CHPBIO</v>
          </cell>
          <cell r="C337" t="str">
            <v>VAR_ncap</v>
          </cell>
          <cell r="D337" t="str">
            <v>-</v>
          </cell>
          <cell r="I337">
            <v>0.100338952588507</v>
          </cell>
          <cell r="J337">
            <v>0.60169985802007397</v>
          </cell>
          <cell r="K337">
            <v>5.7089204648813396</v>
          </cell>
        </row>
        <row r="338">
          <cell r="B338" t="str">
            <v>SCOM-SWHSTG-CHPBIO</v>
          </cell>
          <cell r="C338" t="str">
            <v>VAR_cap</v>
          </cell>
          <cell r="D338" t="str">
            <v>-</v>
          </cell>
          <cell r="I338">
            <v>0.65540512220575209</v>
          </cell>
          <cell r="J338">
            <v>0.83388200143591151</v>
          </cell>
          <cell r="K338">
            <v>6.188035520810935</v>
          </cell>
        </row>
        <row r="339">
          <cell r="B339" t="str">
            <v>SCOM-SWHSTG-CHPHFC</v>
          </cell>
          <cell r="C339" t="str">
            <v>VAR_fout</v>
          </cell>
          <cell r="D339" t="str">
            <v>AUX_SCOM-CHPHFC_OUT</v>
          </cell>
          <cell r="I339">
            <v>5.0829227771324389E-5</v>
          </cell>
          <cell r="J339">
            <v>2.6290979881616051E-5</v>
          </cell>
          <cell r="K339">
            <v>1.3993586065314795E-5</v>
          </cell>
        </row>
        <row r="340">
          <cell r="B340" t="str">
            <v>SCOM-SWHSTG-CHPHFC</v>
          </cell>
          <cell r="C340" t="str">
            <v>VAR_fout</v>
          </cell>
          <cell r="D340" t="str">
            <v>SCOM_LTH_CHPHFC</v>
          </cell>
          <cell r="I340">
            <v>5.0885767513005392E-5</v>
          </cell>
          <cell r="J340">
            <v>2.6290979881616027E-5</v>
          </cell>
          <cell r="K340">
            <v>1.3993586065314791E-5</v>
          </cell>
        </row>
        <row r="341">
          <cell r="B341" t="str">
            <v>SCOM-SWHSTG-CHPHFC</v>
          </cell>
          <cell r="C341" t="str">
            <v>VAR_fin</v>
          </cell>
          <cell r="D341" t="str">
            <v>SCOM_LTH_CHPHFC</v>
          </cell>
          <cell r="I341">
            <v>5.0885767513005392E-5</v>
          </cell>
          <cell r="J341">
            <v>2.6290979881616027E-5</v>
          </cell>
          <cell r="K341">
            <v>1.3993586065314791E-5</v>
          </cell>
        </row>
        <row r="342">
          <cell r="B342" t="str">
            <v>SCOM-SWHSTG-CHPHFC</v>
          </cell>
          <cell r="C342" t="str">
            <v>VAR_fin</v>
          </cell>
          <cell r="D342" t="str">
            <v>AUX_SCOM-CHPHFC_IN</v>
          </cell>
          <cell r="I342">
            <v>5.0885767513005392E-5</v>
          </cell>
          <cell r="J342">
            <v>2.6290979881616027E-5</v>
          </cell>
          <cell r="K342">
            <v>1.3993586065314791E-5</v>
          </cell>
        </row>
        <row r="343">
          <cell r="B343" t="str">
            <v>SCOM-SWHSTG-CHPHFC</v>
          </cell>
          <cell r="C343" t="str">
            <v>VAR_ncap</v>
          </cell>
          <cell r="D343" t="str">
            <v>-</v>
          </cell>
          <cell r="I343">
            <v>1.05856406564496E-4</v>
          </cell>
          <cell r="J343">
            <v>2.0101971571873101E-5</v>
          </cell>
          <cell r="K343">
            <v>1.7644496674079E-5</v>
          </cell>
        </row>
        <row r="344">
          <cell r="B344" t="str">
            <v>SCOM-SWHSTG-CHPHFC</v>
          </cell>
          <cell r="C344" t="str">
            <v>VAR_cap</v>
          </cell>
          <cell r="D344" t="str">
            <v>-</v>
          </cell>
          <cell r="I344">
            <v>1.4688035584819496E-4</v>
          </cell>
          <cell r="J344">
            <v>1.258828314806179E-4</v>
          </cell>
          <cell r="K344">
            <v>7.5359158923071339E-5</v>
          </cell>
        </row>
        <row r="345">
          <cell r="B345" t="str">
            <v>D-IHFO</v>
          </cell>
          <cell r="C345" t="str">
            <v>VAR_fout</v>
          </cell>
          <cell r="D345" t="str">
            <v>CO2</v>
          </cell>
          <cell r="I345">
            <v>1.50263068178061E-2</v>
          </cell>
          <cell r="J345">
            <v>7.0849694855384003E-3</v>
          </cell>
          <cell r="K345"/>
        </row>
        <row r="346">
          <cell r="B346" t="str">
            <v>D-IHFO</v>
          </cell>
          <cell r="C346" t="str">
            <v>VAR_fout</v>
          </cell>
          <cell r="D346" t="str">
            <v>IHFO</v>
          </cell>
          <cell r="I346">
            <v>1.9188766210856832E-4</v>
          </cell>
          <cell r="J346">
            <v>9.0475873225181471E-5</v>
          </cell>
          <cell r="K346"/>
        </row>
        <row r="347">
          <cell r="B347" t="str">
            <v>D-IHFO</v>
          </cell>
          <cell r="C347" t="str">
            <v>VAR_fin</v>
          </cell>
          <cell r="D347" t="str">
            <v>HFO</v>
          </cell>
          <cell r="I347">
            <v>1.9514684178969011E-4</v>
          </cell>
          <cell r="J347">
            <v>9.2012590721277923E-5</v>
          </cell>
          <cell r="K347"/>
        </row>
        <row r="348">
          <cell r="B348" t="str">
            <v>RHNM-CHPNGA</v>
          </cell>
          <cell r="C348" t="str">
            <v>VAR_fout</v>
          </cell>
          <cell r="D348" t="str">
            <v>CO2_R</v>
          </cell>
          <cell r="I348">
            <v>112.92564670175</v>
          </cell>
          <cell r="J348">
            <v>164.44301396741301</v>
          </cell>
          <cell r="K348">
            <v>86.256537804920399</v>
          </cell>
        </row>
        <row r="349">
          <cell r="B349" t="str">
            <v>RHNM-CHPNGA</v>
          </cell>
          <cell r="C349" t="str">
            <v>VAR_fout</v>
          </cell>
          <cell r="D349" t="str">
            <v>RHNM_NKEV_GAS_ELC_CHP</v>
          </cell>
          <cell r="I349">
            <v>0.60486197873608361</v>
          </cell>
          <cell r="J349">
            <v>0.88848667813267723</v>
          </cell>
          <cell r="K349">
            <v>0.47396994761093053</v>
          </cell>
        </row>
        <row r="350">
          <cell r="B350" t="str">
            <v>RHNM-CHPNGA</v>
          </cell>
          <cell r="C350" t="str">
            <v>VAR_fout</v>
          </cell>
          <cell r="D350" t="str">
            <v>RHNM_LTH_CHPNGA</v>
          </cell>
          <cell r="I350">
            <v>1.2348439085016445</v>
          </cell>
          <cell r="J350">
            <v>1.7915387116445787</v>
          </cell>
          <cell r="K350">
            <v>0.9326505420731217</v>
          </cell>
        </row>
        <row r="351">
          <cell r="B351" t="str">
            <v>RHNM-CHPNGA</v>
          </cell>
          <cell r="C351" t="str">
            <v>VAR_fin</v>
          </cell>
          <cell r="D351" t="str">
            <v>RNGA</v>
          </cell>
          <cell r="I351">
            <v>2.0022277783998268</v>
          </cell>
          <cell r="J351">
            <v>2.9156562760179603</v>
          </cell>
          <cell r="K351">
            <v>1.5293712376758934</v>
          </cell>
        </row>
        <row r="352">
          <cell r="B352" t="str">
            <v>RHNM-CHPNGA</v>
          </cell>
          <cell r="C352" t="str">
            <v>VAR_ncap</v>
          </cell>
          <cell r="D352" t="str">
            <v>-</v>
          </cell>
          <cell r="I352">
            <v>5.2416254809343798E-3</v>
          </cell>
          <cell r="J352">
            <v>2.1097497957837299E-2</v>
          </cell>
          <cell r="K352">
            <v>3.4196120389075997E-8</v>
          </cell>
        </row>
        <row r="353">
          <cell r="B353" t="str">
            <v>RHNM-CHPNGA</v>
          </cell>
          <cell r="C353" t="str">
            <v>VAR_cap</v>
          </cell>
          <cell r="D353" t="str">
            <v>-</v>
          </cell>
          <cell r="I353">
            <v>4.4882813258201704E-2</v>
          </cell>
          <cell r="J353">
            <v>6.5928719947884989E-2</v>
          </cell>
          <cell r="K353">
            <v>3.5170167241284689E-2</v>
          </cell>
        </row>
        <row r="354">
          <cell r="B354" t="str">
            <v>G-INTC-EXP00-DE</v>
          </cell>
          <cell r="C354" t="str">
            <v>VAR_fout</v>
          </cell>
          <cell r="D354" t="str">
            <v>ELC_E-DE</v>
          </cell>
          <cell r="I354">
            <v>7.3496771639306423E-5</v>
          </cell>
          <cell r="J354">
            <v>1.0423175190983871E-4</v>
          </cell>
          <cell r="K354">
            <v>3.3294943329047434E-5</v>
          </cell>
        </row>
        <row r="355">
          <cell r="B355" t="str">
            <v>G-INTC-EXP00-DE</v>
          </cell>
          <cell r="C355" t="str">
            <v>VAR_fin</v>
          </cell>
          <cell r="D355" t="str">
            <v>ELC</v>
          </cell>
          <cell r="I355">
            <v>7.3496771639306423E-5</v>
          </cell>
          <cell r="J355">
            <v>1.0423175190983871E-4</v>
          </cell>
          <cell r="K355">
            <v>3.3294943329047434E-5</v>
          </cell>
        </row>
        <row r="356">
          <cell r="B356" t="str">
            <v>G-INTC-EXP00-DE</v>
          </cell>
          <cell r="C356" t="str">
            <v>VAR_ncap</v>
          </cell>
          <cell r="D356" t="str">
            <v>-</v>
          </cell>
          <cell r="I356">
            <v>1.1913828266921401E-7</v>
          </cell>
          <cell r="J356">
            <v>2.1132319438698101E-7</v>
          </cell>
          <cell r="K356">
            <v>3.9984699779540601E-7</v>
          </cell>
        </row>
        <row r="357">
          <cell r="B357" t="str">
            <v>G-INTC-EXP00-DE</v>
          </cell>
          <cell r="C357" t="str">
            <v>VAR_cap</v>
          </cell>
          <cell r="D357" t="str">
            <v>-</v>
          </cell>
          <cell r="I357">
            <v>6.0131949639163906E-5</v>
          </cell>
          <cell r="J357">
            <v>5.980561092400194E-5</v>
          </cell>
          <cell r="K357">
            <v>3.0092162661254918E-5</v>
          </cell>
        </row>
        <row r="358">
          <cell r="B358" t="str">
            <v>ENUC_BMGL_EXT</v>
          </cell>
          <cell r="C358" t="str">
            <v>VAR_fout</v>
          </cell>
          <cell r="D358" t="str">
            <v>ELC</v>
          </cell>
          <cell r="I358">
            <v>33.170252311855613</v>
          </cell>
          <cell r="J358">
            <v>33.170252835394784</v>
          </cell>
          <cell r="K358">
            <v>24.07276354201084</v>
          </cell>
        </row>
        <row r="359">
          <cell r="B359" t="str">
            <v>ENUC_BMGL_EXT</v>
          </cell>
          <cell r="C359" t="str">
            <v>VAR_fin</v>
          </cell>
          <cell r="D359" t="str">
            <v>URN</v>
          </cell>
          <cell r="I359">
            <v>100.03715282854768</v>
          </cell>
          <cell r="J359">
            <v>100.03715440747349</v>
          </cell>
          <cell r="K359">
            <v>72.600313763573851</v>
          </cell>
        </row>
        <row r="360">
          <cell r="B360" t="str">
            <v>ENUC_BMGL_EXT</v>
          </cell>
          <cell r="C360" t="str">
            <v>VAR_ncap</v>
          </cell>
          <cell r="D360" t="str">
            <v>-</v>
          </cell>
          <cell r="I360"/>
          <cell r="J360"/>
          <cell r="K360"/>
        </row>
        <row r="361">
          <cell r="B361" t="str">
            <v>ENUC_BMGL_EXT</v>
          </cell>
          <cell r="C361" t="str">
            <v>VAR_cap</v>
          </cell>
          <cell r="D361" t="str">
            <v>-</v>
          </cell>
          <cell r="I361">
            <v>1.2329896869729899</v>
          </cell>
          <cell r="J361">
            <v>1.2329896869729899</v>
          </cell>
          <cell r="K361">
            <v>0.89482191590234794</v>
          </cell>
        </row>
        <row r="362">
          <cell r="B362" t="str">
            <v>CEN-EBAT</v>
          </cell>
          <cell r="C362" t="str">
            <v>VAR_fout</v>
          </cell>
          <cell r="D362" t="str">
            <v>ELC13</v>
          </cell>
          <cell r="I362">
            <v>5.5959467158985688E-3</v>
          </cell>
          <cell r="J362">
            <v>5.5985220917045882E-3</v>
          </cell>
          <cell r="K362">
            <v>5.3961022161024504E-2</v>
          </cell>
        </row>
        <row r="363">
          <cell r="B363" t="str">
            <v>CEN-EBAT</v>
          </cell>
          <cell r="C363" t="str">
            <v>VAR_fout</v>
          </cell>
          <cell r="D363" t="str">
            <v>AUX_CEN-EBAT_OUT</v>
          </cell>
          <cell r="I363">
            <v>5.5959467158985575E-3</v>
          </cell>
          <cell r="J363">
            <v>5.5985220917045735E-3</v>
          </cell>
          <cell r="K363">
            <v>5.3961022161024358E-2</v>
          </cell>
        </row>
        <row r="364">
          <cell r="B364" t="str">
            <v>CEN-EBAT</v>
          </cell>
          <cell r="C364" t="str">
            <v>VAR_fin</v>
          </cell>
          <cell r="D364" t="str">
            <v>AUX_CEN-EBAT_IN</v>
          </cell>
          <cell r="I364">
            <v>6.4542474168089682E-3</v>
          </cell>
          <cell r="J364">
            <v>6.4572091432789852E-3</v>
          </cell>
          <cell r="K364">
            <v>6.2236063805168863E-2</v>
          </cell>
        </row>
        <row r="365">
          <cell r="B365" t="str">
            <v>CEN-EBAT</v>
          </cell>
          <cell r="C365" t="str">
            <v>VAR_fin</v>
          </cell>
          <cell r="D365" t="str">
            <v>ELC13</v>
          </cell>
          <cell r="I365">
            <v>6.4542474168089682E-3</v>
          </cell>
          <cell r="J365">
            <v>6.4572091432789852E-3</v>
          </cell>
          <cell r="K365">
            <v>6.2236063805168863E-2</v>
          </cell>
        </row>
        <row r="366">
          <cell r="B366" t="str">
            <v>CEN-EBAT</v>
          </cell>
          <cell r="C366" t="str">
            <v>VAR_ncap</v>
          </cell>
          <cell r="D366" t="str">
            <v>-</v>
          </cell>
          <cell r="I366">
            <v>3.6025205397518401E-3</v>
          </cell>
          <cell r="J366">
            <v>7.5734533198746701E-3</v>
          </cell>
          <cell r="K366">
            <v>8.8264338800938692E-3</v>
          </cell>
        </row>
        <row r="367">
          <cell r="B367" t="str">
            <v>CEN-EBAT</v>
          </cell>
          <cell r="C367" t="str">
            <v>VAR_cap</v>
          </cell>
          <cell r="D367" t="str">
            <v>-</v>
          </cell>
          <cell r="I367">
            <v>1.1677332816968734E-2</v>
          </cell>
          <cell r="J367">
            <v>1.204448072021713E-2</v>
          </cell>
          <cell r="K367">
            <v>1.325668630126715E-2</v>
          </cell>
        </row>
        <row r="368">
          <cell r="B368" t="str">
            <v>ESOL-PV</v>
          </cell>
          <cell r="C368" t="str">
            <v>VAR_fout</v>
          </cell>
          <cell r="D368" t="str">
            <v>ELC35</v>
          </cell>
          <cell r="I368">
            <v>0.23824902038278709</v>
          </cell>
          <cell r="J368">
            <v>0.23824920395488164</v>
          </cell>
          <cell r="K368">
            <v>2.1532007773581645E-2</v>
          </cell>
        </row>
        <row r="369">
          <cell r="B369" t="str">
            <v>ESOL-PV</v>
          </cell>
          <cell r="C369" t="str">
            <v>VAR_fin</v>
          </cell>
          <cell r="D369" t="str">
            <v>SOL</v>
          </cell>
          <cell r="I369">
            <v>0.23824902038278709</v>
          </cell>
          <cell r="J369">
            <v>0.23824920395488164</v>
          </cell>
          <cell r="K369">
            <v>2.1532007773581645E-2</v>
          </cell>
        </row>
        <row r="370">
          <cell r="B370" t="str">
            <v>ESOL-PV</v>
          </cell>
          <cell r="C370" t="str">
            <v>VAR_fin</v>
          </cell>
          <cell r="D370" t="str">
            <v>SOLPVC</v>
          </cell>
          <cell r="I370">
            <v>0.238249020382787</v>
          </cell>
          <cell r="J370">
            <v>0.238249203954882</v>
          </cell>
          <cell r="K370">
            <v>2.15320077735816E-2</v>
          </cell>
        </row>
        <row r="371">
          <cell r="B371" t="str">
            <v>ESOL-PV</v>
          </cell>
          <cell r="C371" t="str">
            <v>VAR_ncap</v>
          </cell>
          <cell r="D371" t="str">
            <v>-</v>
          </cell>
          <cell r="I371">
            <v>5.6287857137714902E-5</v>
          </cell>
          <cell r="J371">
            <v>3.2824453219096099E-7</v>
          </cell>
          <cell r="K371">
            <v>8.9262803365628505E-8</v>
          </cell>
        </row>
        <row r="372">
          <cell r="B372" t="str">
            <v>ESOL-PV</v>
          </cell>
          <cell r="C372" t="str">
            <v>VAR_cap</v>
          </cell>
          <cell r="D372" t="str">
            <v>-</v>
          </cell>
          <cell r="I372">
            <v>6.8680689155403499E-2</v>
          </cell>
          <cell r="J372">
            <v>6.8681017399935707E-2</v>
          </cell>
          <cell r="K372">
            <v>6.2078054405287396E-3</v>
          </cell>
        </row>
        <row r="373">
          <cell r="B373" t="str">
            <v>RHEM-SHSTG-CHPNGA</v>
          </cell>
          <cell r="C373" t="str">
            <v>VAR_fout</v>
          </cell>
          <cell r="D373" t="str">
            <v>RHEM_LTH_CHPNGA</v>
          </cell>
          <cell r="I373">
            <v>0.91342199422985138</v>
          </cell>
          <cell r="J373">
            <v>3.6260709284887027</v>
          </cell>
          <cell r="K373">
            <v>6.149047355591631E-2</v>
          </cell>
        </row>
        <row r="374">
          <cell r="B374" t="str">
            <v>RHEM-SHSTG-CHPNGA</v>
          </cell>
          <cell r="C374" t="str">
            <v>VAR_fout</v>
          </cell>
          <cell r="D374" t="str">
            <v>AUX_REM-CHPNGA_OUT</v>
          </cell>
          <cell r="I374">
            <v>0.91258322288528948</v>
          </cell>
          <cell r="J374">
            <v>3.6260709284887169</v>
          </cell>
          <cell r="K374">
            <v>6.1490473555916372E-2</v>
          </cell>
        </row>
        <row r="375">
          <cell r="B375" t="str">
            <v>RHEM-SHSTG-CHPNGA</v>
          </cell>
          <cell r="C375" t="str">
            <v>VAR_fin</v>
          </cell>
          <cell r="D375" t="str">
            <v>AUX_REM-CHPNGA_IN</v>
          </cell>
          <cell r="I375">
            <v>1.107176407957136</v>
          </cell>
          <cell r="J375">
            <v>4.2659657982219974</v>
          </cell>
          <cell r="K375">
            <v>6.8322748395463845E-2</v>
          </cell>
        </row>
        <row r="376">
          <cell r="B376" t="str">
            <v>RHEM-SHSTG-CHPNGA</v>
          </cell>
          <cell r="C376" t="str">
            <v>VAR_fin</v>
          </cell>
          <cell r="D376" t="str">
            <v>RHEM_LTH_CHPNGA</v>
          </cell>
          <cell r="I376">
            <v>1.107176407957136</v>
          </cell>
          <cell r="J376">
            <v>4.2659657982219974</v>
          </cell>
          <cell r="K376">
            <v>6.8322748395463845E-2</v>
          </cell>
        </row>
        <row r="377">
          <cell r="B377" t="str">
            <v>RHEM-SHSTG-CHPNGA</v>
          </cell>
          <cell r="C377" t="str">
            <v>VAR_ncap</v>
          </cell>
          <cell r="D377" t="str">
            <v>-</v>
          </cell>
          <cell r="I377">
            <v>1.3847198233794799E-2</v>
          </cell>
          <cell r="J377">
            <v>0.186209953800369</v>
          </cell>
          <cell r="K377">
            <v>1.8623735544375501E-6</v>
          </cell>
        </row>
        <row r="378">
          <cell r="B378" t="str">
            <v>RHEM-SHSTG-CHPNGA</v>
          </cell>
          <cell r="C378" t="str">
            <v>VAR_cap</v>
          </cell>
          <cell r="D378" t="str">
            <v>-</v>
          </cell>
          <cell r="I378">
            <v>5.7912763240446349E-2</v>
          </cell>
          <cell r="J378">
            <v>0.22996502104869815</v>
          </cell>
          <cell r="K378">
            <v>3.2434805465834993E-2</v>
          </cell>
        </row>
        <row r="379">
          <cell r="B379" t="str">
            <v>RHNS-ESOLPV</v>
          </cell>
          <cell r="C379" t="str">
            <v>VAR_fout</v>
          </cell>
          <cell r="D379" t="str">
            <v>RHNS_SOL_ELC</v>
          </cell>
          <cell r="I379">
            <v>1.8490389113865835E-4</v>
          </cell>
          <cell r="J379">
            <v>1.9439785780598745E-4</v>
          </cell>
          <cell r="K379">
            <v>2.1475263249312623E-4</v>
          </cell>
        </row>
        <row r="380">
          <cell r="B380" t="str">
            <v>RHNS-ESOLPV</v>
          </cell>
          <cell r="C380" t="str">
            <v>VAR_fin</v>
          </cell>
          <cell r="D380" t="str">
            <v>SOL</v>
          </cell>
          <cell r="I380">
            <v>1.8490389113865835E-4</v>
          </cell>
          <cell r="J380">
            <v>1.9439785780598745E-4</v>
          </cell>
          <cell r="K380">
            <v>2.1475263249312623E-4</v>
          </cell>
        </row>
        <row r="381">
          <cell r="B381" t="str">
            <v>RHNS-ESOLPV</v>
          </cell>
          <cell r="C381" t="str">
            <v>VAR_fin</v>
          </cell>
          <cell r="D381" t="str">
            <v>SOLPVC</v>
          </cell>
          <cell r="I381">
            <v>1.84903891138658E-4</v>
          </cell>
          <cell r="J381">
            <v>1.9439785780598799E-4</v>
          </cell>
          <cell r="K381">
            <v>2.1475263249312601E-4</v>
          </cell>
        </row>
        <row r="382">
          <cell r="B382" t="str">
            <v>RHNS-ESOLPV</v>
          </cell>
          <cell r="C382" t="str">
            <v>VAR_ncap</v>
          </cell>
          <cell r="D382" t="str">
            <v>-</v>
          </cell>
          <cell r="I382">
            <v>2.7167404213323501E-6</v>
          </cell>
          <cell r="J382">
            <v>3.6126039119887702E-6</v>
          </cell>
          <cell r="K382">
            <v>5.64730122135915E-5</v>
          </cell>
        </row>
        <row r="383">
          <cell r="B383" t="str">
            <v>RHNS-ESOLPV</v>
          </cell>
          <cell r="C383" t="str">
            <v>VAR_cap</v>
          </cell>
          <cell r="D383" t="str">
            <v>-</v>
          </cell>
          <cell r="I383">
            <v>5.37860948562726E-5</v>
          </cell>
          <cell r="J383">
            <v>5.6561007619016897E-5</v>
          </cell>
          <cell r="K383">
            <v>6.2265131623050906E-5</v>
          </cell>
        </row>
        <row r="384">
          <cell r="B384" t="str">
            <v>RHSA-WHSTG-CHP</v>
          </cell>
          <cell r="C384" t="str">
            <v>VAR_fout</v>
          </cell>
          <cell r="D384" t="str">
            <v>AUX_RHSA-CHP_OUT</v>
          </cell>
          <cell r="I384">
            <v>0.1364954260211392</v>
          </cell>
          <cell r="J384">
            <v>0.13874887571379382</v>
          </cell>
          <cell r="K384">
            <v>8.708062917862908E-3</v>
          </cell>
        </row>
        <row r="385">
          <cell r="B385" t="str">
            <v>RHSA-WHSTG-CHP</v>
          </cell>
          <cell r="C385" t="str">
            <v>VAR_fout</v>
          </cell>
          <cell r="D385" t="str">
            <v>RHSA_LTH</v>
          </cell>
          <cell r="I385">
            <v>0.13662088137593778</v>
          </cell>
          <cell r="J385">
            <v>0.13874887571379327</v>
          </cell>
          <cell r="K385">
            <v>8.7080629178629011E-3</v>
          </cell>
        </row>
        <row r="386">
          <cell r="B386" t="str">
            <v>RHSA-WHSTG-CHP</v>
          </cell>
          <cell r="C386" t="str">
            <v>VAR_fin</v>
          </cell>
          <cell r="D386" t="str">
            <v>RHSA_LTH</v>
          </cell>
          <cell r="I386">
            <v>0.16559930146754112</v>
          </cell>
          <cell r="J386">
            <v>0.16323397142799231</v>
          </cell>
          <cell r="K386">
            <v>9.6756254642922437E-3</v>
          </cell>
        </row>
        <row r="387">
          <cell r="B387" t="str">
            <v>RHSA-WHSTG-CHP</v>
          </cell>
          <cell r="C387" t="str">
            <v>VAR_fin</v>
          </cell>
          <cell r="D387" t="str">
            <v>AUX_RHSA-CHP_IN</v>
          </cell>
          <cell r="I387">
            <v>0.16559930146754112</v>
          </cell>
          <cell r="J387">
            <v>0.16323397142799231</v>
          </cell>
          <cell r="K387">
            <v>9.6756254642922437E-3</v>
          </cell>
        </row>
        <row r="388">
          <cell r="B388" t="str">
            <v>RHSA-WHSTG-CHP</v>
          </cell>
          <cell r="C388" t="str">
            <v>VAR_ncap</v>
          </cell>
          <cell r="D388" t="str">
            <v>-</v>
          </cell>
          <cell r="I388">
            <v>6.2347680798543097E-3</v>
          </cell>
          <cell r="J388">
            <v>1.05703590552005E-3</v>
          </cell>
          <cell r="K388">
            <v>1.7635112577269E-6</v>
          </cell>
        </row>
        <row r="389">
          <cell r="B389" t="str">
            <v>RHSA-WHSTG-CHP</v>
          </cell>
          <cell r="C389" t="str">
            <v>VAR_cap</v>
          </cell>
          <cell r="D389" t="str">
            <v>-</v>
          </cell>
          <cell r="I389">
            <v>8.6697356850346779E-3</v>
          </cell>
          <cell r="J389">
            <v>8.8003597376462659E-3</v>
          </cell>
          <cell r="K389">
            <v>2.9815709942970412E-3</v>
          </cell>
        </row>
        <row r="390">
          <cell r="B390" t="str">
            <v>G-INTC-SER</v>
          </cell>
          <cell r="C390" t="str">
            <v>VAR_fout</v>
          </cell>
          <cell r="D390" t="str">
            <v>ELC35</v>
          </cell>
          <cell r="I390">
            <v>2.0084625065067843E-4</v>
          </cell>
          <cell r="J390">
            <v>1.3743699650877492E-4</v>
          </cell>
          <cell r="K390">
            <v>9.4493481760366874E-5</v>
          </cell>
        </row>
        <row r="391">
          <cell r="B391" t="str">
            <v>G-INTC-SER</v>
          </cell>
          <cell r="C391" t="str">
            <v>VAR_fout</v>
          </cell>
          <cell r="D391" t="str">
            <v>SCOM_ELC</v>
          </cell>
          <cell r="I391">
            <v>45.867033120767289</v>
          </cell>
          <cell r="J391">
            <v>45.732216733952896</v>
          </cell>
          <cell r="K391">
            <v>48.196046253668193</v>
          </cell>
        </row>
        <row r="392">
          <cell r="B392" t="str">
            <v>G-INTC-SER</v>
          </cell>
          <cell r="C392" t="str">
            <v>VAR_fin</v>
          </cell>
          <cell r="D392" t="str">
            <v>ELC5</v>
          </cell>
          <cell r="I392">
            <v>45.867233967017931</v>
          </cell>
          <cell r="J392">
            <v>45.732352926319507</v>
          </cell>
          <cell r="K392">
            <v>48.196140204107671</v>
          </cell>
        </row>
        <row r="393">
          <cell r="B393" t="str">
            <v>G-INTC-SER</v>
          </cell>
          <cell r="C393" t="str">
            <v>VAR_ncap</v>
          </cell>
          <cell r="D393" t="str">
            <v>-</v>
          </cell>
          <cell r="I393">
            <v>1.6501702795051199E-8</v>
          </cell>
          <cell r="J393">
            <v>2.1423669300536601E-8</v>
          </cell>
          <cell r="K393">
            <v>3.9715399470088502E-8</v>
          </cell>
        </row>
        <row r="394">
          <cell r="B394" t="str">
            <v>G-INTC-SER</v>
          </cell>
          <cell r="C394" t="str">
            <v>VAR_cap</v>
          </cell>
          <cell r="D394" t="str">
            <v>-</v>
          </cell>
          <cell r="I394">
            <v>4.3683888749816786</v>
          </cell>
          <cell r="J394">
            <v>4.3683888978247376</v>
          </cell>
          <cell r="K394">
            <v>4.368388938321111</v>
          </cell>
        </row>
        <row r="395">
          <cell r="B395" t="str">
            <v>CHPWOD</v>
          </cell>
          <cell r="C395" t="str">
            <v>VAR_fout</v>
          </cell>
          <cell r="D395" t="str">
            <v>ELC35</v>
          </cell>
          <cell r="I395">
            <v>1.004274890904393</v>
          </cell>
          <cell r="J395">
            <v>1.0606200199151909</v>
          </cell>
          <cell r="K395">
            <v>1.7002945726785013E-2</v>
          </cell>
        </row>
        <row r="396">
          <cell r="B396" t="str">
            <v>CHPWOD</v>
          </cell>
          <cell r="C396" t="str">
            <v>VAR_fout</v>
          </cell>
          <cell r="D396" t="str">
            <v>LTH</v>
          </cell>
          <cell r="I396">
            <v>2.6263643649173845</v>
          </cell>
          <cell r="J396">
            <v>2.7737172862249833</v>
          </cell>
          <cell r="K396">
            <v>4.4465844122855536E-2</v>
          </cell>
        </row>
        <row r="397">
          <cell r="B397" t="str">
            <v>CHPWOD</v>
          </cell>
          <cell r="C397" t="str">
            <v>VAR_fin</v>
          </cell>
          <cell r="D397" t="str">
            <v>EWOD</v>
          </cell>
          <cell r="I397">
            <v>3.4551971581347485</v>
          </cell>
          <cell r="J397">
            <v>3.4634071684781094</v>
          </cell>
          <cell r="K397">
            <v>5.5590175186618865E-2</v>
          </cell>
        </row>
        <row r="398">
          <cell r="B398" t="str">
            <v>CHPWOD</v>
          </cell>
          <cell r="C398" t="str">
            <v>VAR_ncap</v>
          </cell>
          <cell r="D398" t="str">
            <v>-</v>
          </cell>
          <cell r="I398">
            <v>3.2499710656265698E-7</v>
          </cell>
          <cell r="J398">
            <v>6.2886964908891695E-4</v>
          </cell>
          <cell r="K398">
            <v>1.2940025666755001E-7</v>
          </cell>
        </row>
        <row r="399">
          <cell r="B399" t="str">
            <v>CHPWOD</v>
          </cell>
          <cell r="C399" t="str">
            <v>VAR_cap</v>
          </cell>
          <cell r="D399" t="str">
            <v>-</v>
          </cell>
          <cell r="I399">
            <v>4.1503232177228108E-2</v>
          </cell>
          <cell r="J399">
            <v>3.9567169464095941E-2</v>
          </cell>
          <cell r="K399">
            <v>6.3668085046457955E-4</v>
          </cell>
        </row>
        <row r="400">
          <cell r="B400" t="str">
            <v>G-INTC1</v>
          </cell>
          <cell r="C400" t="str">
            <v>VAR_fout</v>
          </cell>
          <cell r="D400" t="str">
            <v>ELC13</v>
          </cell>
          <cell r="I400">
            <v>143.43999677649231</v>
          </cell>
          <cell r="J400">
            <v>150.55319910273144</v>
          </cell>
          <cell r="K400">
            <v>150.96149521144298</v>
          </cell>
        </row>
        <row r="401">
          <cell r="B401" t="str">
            <v>G-INTC1</v>
          </cell>
          <cell r="C401" t="str">
            <v>VAR_fin</v>
          </cell>
          <cell r="D401" t="str">
            <v>ELC</v>
          </cell>
          <cell r="I401">
            <v>145.78361798941171</v>
          </cell>
          <cell r="J401">
            <v>152.46539202389474</v>
          </cell>
          <cell r="K401">
            <v>151.79231478592104</v>
          </cell>
        </row>
        <row r="402">
          <cell r="B402" t="str">
            <v>G-INTC1</v>
          </cell>
          <cell r="C402" t="str">
            <v>VAR_ncap</v>
          </cell>
          <cell r="D402" t="str">
            <v>-</v>
          </cell>
          <cell r="I402">
            <v>3.4323271599425397E-8</v>
          </cell>
          <cell r="J402">
            <v>5.5526070747839698E-8</v>
          </cell>
          <cell r="K402">
            <v>1.8934537279719999E-7</v>
          </cell>
        </row>
        <row r="403">
          <cell r="B403" t="str">
            <v>G-INTC1</v>
          </cell>
          <cell r="C403" t="str">
            <v>VAR_cap</v>
          </cell>
          <cell r="D403" t="str">
            <v>-</v>
          </cell>
          <cell r="I403">
            <v>15.305609242810414</v>
          </cell>
          <cell r="J403">
            <v>15.305609259128452</v>
          </cell>
          <cell r="K403">
            <v>15.3056093684225</v>
          </cell>
        </row>
        <row r="404">
          <cell r="B404" t="str">
            <v>EHYD-RUNS00</v>
          </cell>
          <cell r="C404" t="str">
            <v>VAR_fout</v>
          </cell>
          <cell r="D404" t="str">
            <v>ELC35</v>
          </cell>
          <cell r="I404">
            <v>12.263778632474096</v>
          </cell>
          <cell r="J404">
            <v>12.271903654670501</v>
          </cell>
          <cell r="K404">
            <v>12.288234254055002</v>
          </cell>
        </row>
        <row r="405">
          <cell r="B405" t="str">
            <v>EHYD-RUNS00</v>
          </cell>
          <cell r="C405" t="str">
            <v>VAR_fin</v>
          </cell>
          <cell r="D405" t="str">
            <v>HYDR</v>
          </cell>
          <cell r="I405">
            <v>12.263778632474096</v>
          </cell>
          <cell r="J405">
            <v>12.271903654670501</v>
          </cell>
          <cell r="K405">
            <v>12.288234254055002</v>
          </cell>
        </row>
        <row r="406">
          <cell r="B406" t="str">
            <v>EHYD-RUNS00</v>
          </cell>
          <cell r="C406" t="str">
            <v>VAR_cap</v>
          </cell>
          <cell r="D406" t="str">
            <v>-</v>
          </cell>
          <cell r="I406">
            <v>0.89707999999999899</v>
          </cell>
          <cell r="J406">
            <v>0.89707999999999899</v>
          </cell>
          <cell r="K406">
            <v>0.89707999999999899</v>
          </cell>
        </row>
        <row r="407">
          <cell r="B407" t="str">
            <v>RHNS-SHSTG-CHPWOD</v>
          </cell>
          <cell r="C407" t="str">
            <v>VAR_fout</v>
          </cell>
          <cell r="D407" t="str">
            <v>AUX_RNS-CHPWOD_OUT</v>
          </cell>
          <cell r="I407">
            <v>5.4973959296197113E-4</v>
          </cell>
          <cell r="J407">
            <v>5.882939760367983E-4</v>
          </cell>
          <cell r="K407">
            <v>6.3185391409297767E-4</v>
          </cell>
        </row>
        <row r="408">
          <cell r="B408" t="str">
            <v>RHNS-SHSTG-CHPWOD</v>
          </cell>
          <cell r="C408" t="str">
            <v>VAR_fout</v>
          </cell>
          <cell r="D408" t="str">
            <v>RHNS_LTH_CHPWOD</v>
          </cell>
          <cell r="I408">
            <v>5.5024486832314838E-4</v>
          </cell>
          <cell r="J408">
            <v>5.8829397603679613E-4</v>
          </cell>
          <cell r="K408">
            <v>6.3185391409297735E-4</v>
          </cell>
        </row>
        <row r="409">
          <cell r="B409" t="str">
            <v>RHNS-SHSTG-CHPWOD</v>
          </cell>
          <cell r="C409" t="str">
            <v>VAR_fin</v>
          </cell>
          <cell r="D409" t="str">
            <v>AUX_RNS-CHPWOD_IN</v>
          </cell>
          <cell r="I409">
            <v>6.6519660982808436E-4</v>
          </cell>
          <cell r="J409">
            <v>6.9211056004317515E-4</v>
          </cell>
          <cell r="K409">
            <v>7.0205990454772133E-4</v>
          </cell>
        </row>
        <row r="410">
          <cell r="B410" t="str">
            <v>RHNS-SHSTG-CHPWOD</v>
          </cell>
          <cell r="C410" t="str">
            <v>VAR_fin</v>
          </cell>
          <cell r="D410" t="str">
            <v>RHNS_LTH_CHPWOD</v>
          </cell>
          <cell r="I410">
            <v>6.6519660982808436E-4</v>
          </cell>
          <cell r="J410">
            <v>6.9211056004317515E-4</v>
          </cell>
          <cell r="K410">
            <v>7.0205990454772133E-4</v>
          </cell>
        </row>
        <row r="411">
          <cell r="B411" t="str">
            <v>RHNS-SHSTG-CHPWOD</v>
          </cell>
          <cell r="C411" t="str">
            <v>VAR_ncap</v>
          </cell>
          <cell r="D411" t="str">
            <v>-</v>
          </cell>
          <cell r="I411">
            <v>2.4840061951646397E-4</v>
          </cell>
          <cell r="J411">
            <v>2.17745519404963E-5</v>
          </cell>
          <cell r="K411">
            <v>4.3320841862342301E-5</v>
          </cell>
        </row>
        <row r="412">
          <cell r="B412" t="str">
            <v>RHNS-SHSTG-CHPWOD</v>
          </cell>
          <cell r="C412" t="str">
            <v>VAR_cap</v>
          </cell>
          <cell r="D412" t="str">
            <v>-</v>
          </cell>
          <cell r="I412">
            <v>3.1227914292330215E-4</v>
          </cell>
          <cell r="J412">
            <v>2.724228206775766E-4</v>
          </cell>
          <cell r="K412">
            <v>1.6267561392146538E-4</v>
          </cell>
        </row>
        <row r="413">
          <cell r="B413" t="str">
            <v>HPLOIL</v>
          </cell>
          <cell r="C413" t="str">
            <v>VAR_fout</v>
          </cell>
          <cell r="D413" t="str">
            <v>LTH</v>
          </cell>
          <cell r="I413">
            <v>5.1972540912594829E-5</v>
          </cell>
          <cell r="J413">
            <v>8.4416100605955261E-5</v>
          </cell>
          <cell r="K413">
            <v>4.0080094022231125E-5</v>
          </cell>
        </row>
        <row r="414">
          <cell r="B414" t="str">
            <v>HPLOIL</v>
          </cell>
          <cell r="C414" t="str">
            <v>VAR_fout</v>
          </cell>
          <cell r="D414" t="str">
            <v>CO2_E</v>
          </cell>
          <cell r="I414">
            <v>4.4828296580253597E-3</v>
          </cell>
          <cell r="J414">
            <v>7.2812102846317303E-3</v>
          </cell>
          <cell r="K414">
            <v>3.4570608060411701E-3</v>
          </cell>
        </row>
        <row r="415">
          <cell r="B415" t="str">
            <v>HPLOIL</v>
          </cell>
          <cell r="C415" t="str">
            <v>VAR_fin</v>
          </cell>
          <cell r="D415" t="str">
            <v>ELFO</v>
          </cell>
          <cell r="I415">
            <v>6.0825368494238251E-5</v>
          </cell>
          <cell r="J415">
            <v>9.8795254879670719E-5</v>
          </cell>
          <cell r="K415">
            <v>4.6907202252933134E-5</v>
          </cell>
        </row>
        <row r="416">
          <cell r="B416" t="str">
            <v>HPLOIL</v>
          </cell>
          <cell r="C416" t="str">
            <v>VAR_ncap</v>
          </cell>
          <cell r="D416" t="str">
            <v>-</v>
          </cell>
          <cell r="I416">
            <v>5.7664340937185197E-5</v>
          </cell>
          <cell r="J416">
            <v>2.9901041374321402E-6</v>
          </cell>
          <cell r="K416">
            <v>1.3514425920369601E-6</v>
          </cell>
        </row>
        <row r="417">
          <cell r="B417" t="str">
            <v>HPLOIL</v>
          </cell>
          <cell r="C417" t="str">
            <v>VAR_cap</v>
          </cell>
          <cell r="D417" t="str">
            <v>-</v>
          </cell>
          <cell r="I417">
            <v>5.8689310598407298E-5</v>
          </cell>
          <cell r="J417">
            <v>6.1319380626942332E-5</v>
          </cell>
          <cell r="K417">
            <v>4.9731384919993573E-5</v>
          </cell>
        </row>
        <row r="418">
          <cell r="B418" t="str">
            <v>V2G</v>
          </cell>
          <cell r="C418" t="str">
            <v>VAR_fout</v>
          </cell>
          <cell r="D418" t="str">
            <v>ELC35</v>
          </cell>
          <cell r="I418">
            <v>3.4689545837608554E-3</v>
          </cell>
          <cell r="J418">
            <v>2.9374082481378192E-3</v>
          </cell>
          <cell r="K418">
            <v>1.5871262705839993E-3</v>
          </cell>
        </row>
        <row r="419">
          <cell r="B419" t="str">
            <v>V2G</v>
          </cell>
          <cell r="C419" t="str">
            <v>VAR_fin</v>
          </cell>
          <cell r="D419" t="str">
            <v>T-ELC-Bus_c_BatSTGout_S1</v>
          </cell>
          <cell r="I419">
            <v>1.0430274742836374E-4</v>
          </cell>
          <cell r="J419">
            <v>4.9620651303652926E-5</v>
          </cell>
          <cell r="K419">
            <v>2.530901883562091E-5</v>
          </cell>
        </row>
        <row r="420">
          <cell r="B420" t="str">
            <v>V2G</v>
          </cell>
          <cell r="C420" t="str">
            <v>VAR_fin</v>
          </cell>
          <cell r="D420" t="str">
            <v>T-ELC-Bus_c_BatSTGout_S2</v>
          </cell>
          <cell r="I420">
            <v>7.237374118506148E-5</v>
          </cell>
          <cell r="J420">
            <v>4.9322956378619968E-5</v>
          </cell>
          <cell r="K420">
            <v>2.798484758530212E-5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T-ELC-Bus_c_BatSTGout_S3</v>
          </cell>
          <cell r="I421">
            <v>3.6279052366576356E-5</v>
          </cell>
          <cell r="J421">
            <v>3.2843927489121479E-5</v>
          </cell>
          <cell r="K421">
            <v>2.430769800817139E-5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T-ELC-Bus_c_BatSTGout_S4</v>
          </cell>
          <cell r="I422">
            <v>4.0115338658232044E-5</v>
          </cell>
          <cell r="J422">
            <v>3.715478548323762E-5</v>
          </cell>
          <cell r="K422">
            <v>3.1012268879200826E-5</v>
          </cell>
        </row>
        <row r="423">
          <cell r="B423" t="str">
            <v>V2G</v>
          </cell>
          <cell r="C423" t="str">
            <v>VAR_fin</v>
          </cell>
          <cell r="D423" t="str">
            <v>T-ELC-car-BatSTGOut_S1</v>
          </cell>
          <cell r="I423">
            <v>3.5857142288097396E-4</v>
          </cell>
          <cell r="J423">
            <v>1.3814638619327063E-4</v>
          </cell>
          <cell r="K423">
            <v>4.299935237033394E-5</v>
          </cell>
        </row>
        <row r="424">
          <cell r="B424" t="str">
            <v>V2G</v>
          </cell>
          <cell r="C424" t="str">
            <v>VAR_fin</v>
          </cell>
          <cell r="D424" t="str">
            <v>T-ELC-car-BatSTGOut_S2</v>
          </cell>
          <cell r="I424">
            <v>1.0308434985639482E-4</v>
          </cell>
          <cell r="J424">
            <v>6.5639250860319618E-5</v>
          </cell>
          <cell r="K424">
            <v>3.4447199858568474E-5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T-ELC-car-BatSTGOut_S3</v>
          </cell>
          <cell r="I425">
            <v>1.095159991895362E-4</v>
          </cell>
          <cell r="J425">
            <v>6.8491059339892041E-5</v>
          </cell>
          <cell r="K425">
            <v>3.5572835633770531E-5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T-ELC-car-BatSTGOut_S4</v>
          </cell>
          <cell r="I426">
            <v>1.0321171654155218E-4</v>
          </cell>
          <cell r="J426">
            <v>6.5956761987444703E-5</v>
          </cell>
          <cell r="K426">
            <v>3.4093533252467709E-5</v>
          </cell>
        </row>
        <row r="427">
          <cell r="B427" t="str">
            <v>V2G</v>
          </cell>
          <cell r="C427" t="str">
            <v>VAR_fin</v>
          </cell>
          <cell r="D427" t="str">
            <v>T-ELC-car-PlgSTGOut_S1</v>
          </cell>
          <cell r="I427">
            <v>1.5181705079892369E-4</v>
          </cell>
          <cell r="J427">
            <v>1.808413513489434E-4</v>
          </cell>
          <cell r="K427">
            <v>1.4567922307830001E-4</v>
          </cell>
        </row>
        <row r="428">
          <cell r="B428" t="str">
            <v>V2G</v>
          </cell>
          <cell r="C428" t="str">
            <v>VAR_fin</v>
          </cell>
          <cell r="D428" t="str">
            <v>T-ELC-car-PlgSTGOut_S2</v>
          </cell>
          <cell r="I428">
            <v>5.6130992621505682E-5</v>
          </cell>
          <cell r="J428">
            <v>1.1690026252833313E-4</v>
          </cell>
          <cell r="K428">
            <v>4.5619640210569452E-5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T-ELC-car-PlgSTGOut_S3</v>
          </cell>
          <cell r="I429">
            <v>1.0453058284304709E-4</v>
          </cell>
          <cell r="J429">
            <v>6.883385526986785E-5</v>
          </cell>
          <cell r="K429">
            <v>3.5322094579608798E-5</v>
          </cell>
        </row>
        <row r="430">
          <cell r="B430" t="str">
            <v>V2G</v>
          </cell>
          <cell r="C430" t="str">
            <v>VAR_fin</v>
          </cell>
          <cell r="D430" t="str">
            <v>T-ELC-TWSTGout_S1</v>
          </cell>
          <cell r="I430">
            <v>3.4718382384463784E-4</v>
          </cell>
          <cell r="J430">
            <v>2.6567031135601998E-4</v>
          </cell>
          <cell r="K430">
            <v>1.2526623243750372E-4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T-ELC-car-PlgSTGOut_S4</v>
          </cell>
          <cell r="I431">
            <v>1.0152880593373798E-4</v>
          </cell>
          <cell r="J431">
            <v>1.9832737475560476E-4</v>
          </cell>
          <cell r="K431">
            <v>8.9680333722219369E-5</v>
          </cell>
        </row>
        <row r="432">
          <cell r="B432" t="str">
            <v>V2G</v>
          </cell>
          <cell r="C432" t="str">
            <v>VAR_fin</v>
          </cell>
          <cell r="D432" t="str">
            <v>T-ELC-TWSTGout_S2</v>
          </cell>
          <cell r="I432">
            <v>4.2171330589274911E-4</v>
          </cell>
          <cell r="J432">
            <v>3.3372832554693239E-4</v>
          </cell>
          <cell r="K432">
            <v>1.6864336757622267E-4</v>
          </cell>
        </row>
        <row r="433">
          <cell r="B433" t="str">
            <v>V2G</v>
          </cell>
          <cell r="C433" t="str">
            <v>VAR_fin</v>
          </cell>
          <cell r="D433" t="str">
            <v>T-ELC-TWSTGout_S3</v>
          </cell>
          <cell r="I433">
            <v>5.415456502624597E-4</v>
          </cell>
          <cell r="J433">
            <v>4.8452054132771307E-4</v>
          </cell>
          <cell r="K433">
            <v>2.3764993842243735E-4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T-ELC-TWSTGout_S4</v>
          </cell>
          <cell r="I434">
            <v>5.717108784002782E-4</v>
          </cell>
          <cell r="J434">
            <v>5.685002971996413E-4</v>
          </cell>
          <cell r="K434">
            <v>3.5979850093319319E-4</v>
          </cell>
        </row>
        <row r="435">
          <cell r="B435" t="str">
            <v>V2G</v>
          </cell>
          <cell r="C435" t="str">
            <v>VAR_fin</v>
          </cell>
          <cell r="D435" t="str">
            <v>T-ELC-Bus_u_BatSTGout_S1</v>
          </cell>
          <cell r="I435">
            <v>3.3868238116872982E-5</v>
          </cell>
          <cell r="J435">
            <v>2.13450383816063E-5</v>
          </cell>
          <cell r="K435">
            <v>1.7752163656107369E-5</v>
          </cell>
        </row>
        <row r="436">
          <cell r="B436" t="str">
            <v>V2G</v>
          </cell>
          <cell r="C436" t="str">
            <v>VAR_fin</v>
          </cell>
          <cell r="D436" t="str">
            <v>T-ELC-Bus_u_BatSTGout_S2</v>
          </cell>
          <cell r="I436">
            <v>2.6464314395238365E-5</v>
          </cell>
          <cell r="J436">
            <v>2.0517344489000697E-5</v>
          </cell>
          <cell r="K436">
            <v>1.4470608780197093E-5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T-ELC-Bus_u_BatSTGout_S3</v>
          </cell>
          <cell r="I437">
            <v>1.2968107876467516E-5</v>
          </cell>
          <cell r="J437">
            <v>1.1574139979822311E-5</v>
          </cell>
          <cell r="K437">
            <v>8.8616114869250044E-6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T-ELC-Bus_u_BatSTGout_S4</v>
          </cell>
          <cell r="I438">
            <v>2.9661803358566325E-5</v>
          </cell>
          <cell r="J438">
            <v>3.1202505625163954E-5</v>
          </cell>
          <cell r="K438">
            <v>2.0295038373184938E-5</v>
          </cell>
        </row>
        <row r="439">
          <cell r="B439" t="str">
            <v>V2G</v>
          </cell>
          <cell r="C439" t="str">
            <v>VAR_fin</v>
          </cell>
          <cell r="D439" t="str">
            <v>T-ELC-LGV_BatSTGout</v>
          </cell>
          <cell r="I439">
            <v>7.3173355435943819E-5</v>
          </cell>
          <cell r="J439">
            <v>5.075187320949276E-5</v>
          </cell>
          <cell r="K439">
            <v>2.97208273788898E-5</v>
          </cell>
        </row>
        <row r="440">
          <cell r="B440" t="str">
            <v>V2G</v>
          </cell>
          <cell r="C440" t="str">
            <v>VAR_fin</v>
          </cell>
          <cell r="D440" t="str">
            <v>T-ELC-HGV_BatSTGout</v>
          </cell>
          <cell r="I440">
            <v>9.2918596954896953E-5</v>
          </cell>
          <cell r="J440">
            <v>9.8591478606229211E-5</v>
          </cell>
          <cell r="K440">
            <v>5.1668777617879831E-5</v>
          </cell>
        </row>
        <row r="441">
          <cell r="B441" t="str">
            <v>V2G</v>
          </cell>
          <cell r="C441" t="str">
            <v>VAR_ncap</v>
          </cell>
          <cell r="D441" t="str">
            <v>-</v>
          </cell>
          <cell r="I441">
            <v>4.0360814373453899E-4</v>
          </cell>
          <cell r="J441">
            <v>8.6655356335132194E-5</v>
          </cell>
          <cell r="K441">
            <v>1.4231295893377E-4</v>
          </cell>
        </row>
        <row r="442">
          <cell r="B442" t="str">
            <v>V2G</v>
          </cell>
          <cell r="C442" t="str">
            <v>VAR_cap</v>
          </cell>
          <cell r="D442" t="str">
            <v>-</v>
          </cell>
          <cell r="I442">
            <v>8.5657560806004756E-4</v>
          </cell>
          <cell r="J442">
            <v>7.9858636249962385E-4</v>
          </cell>
          <cell r="K442">
            <v>3.7515381742118546E-4</v>
          </cell>
        </row>
        <row r="443">
          <cell r="B443" t="str">
            <v>D-EBIO</v>
          </cell>
          <cell r="C443" t="str">
            <v>VAR_fout</v>
          </cell>
          <cell r="D443" t="str">
            <v>EBIO</v>
          </cell>
          <cell r="I443">
            <v>1.1839507374257026</v>
          </cell>
          <cell r="J443">
            <v>1.1839502085701004</v>
          </cell>
          <cell r="K443">
            <v>1.183950362137832</v>
          </cell>
        </row>
        <row r="444">
          <cell r="B444" t="str">
            <v>D-EBIO</v>
          </cell>
          <cell r="C444" t="str">
            <v>VAR_fin</v>
          </cell>
          <cell r="D444" t="str">
            <v>BIO</v>
          </cell>
          <cell r="I444">
            <v>1.1839507374257026</v>
          </cell>
          <cell r="J444">
            <v>1.1839502085701004</v>
          </cell>
          <cell r="K444">
            <v>1.183950362137832</v>
          </cell>
        </row>
        <row r="445">
          <cell r="B445" t="str">
            <v>G-INTC3</v>
          </cell>
          <cell r="C445" t="str">
            <v>VAR_fout</v>
          </cell>
          <cell r="D445" t="str">
            <v>ELC35</v>
          </cell>
          <cell r="I445">
            <v>90.725189123911363</v>
          </cell>
          <cell r="J445">
            <v>144.95401659813157</v>
          </cell>
          <cell r="K445">
            <v>153.13559567944054</v>
          </cell>
        </row>
        <row r="446">
          <cell r="B446" t="str">
            <v>G-INTC3</v>
          </cell>
          <cell r="C446" t="str">
            <v>VAR_fout</v>
          </cell>
          <cell r="D446" t="str">
            <v>ELC3</v>
          </cell>
          <cell r="I446">
            <v>97.726468970739006</v>
          </cell>
          <cell r="J446">
            <v>50.381610004091051</v>
          </cell>
          <cell r="K446">
            <v>48.376546788893208</v>
          </cell>
        </row>
        <row r="447">
          <cell r="B447" t="str">
            <v>G-INTC3</v>
          </cell>
          <cell r="C447" t="str">
            <v>VAR_fout</v>
          </cell>
          <cell r="D447" t="str">
            <v>ELC</v>
          </cell>
          <cell r="I447">
            <v>4.7228628507752396E-4</v>
          </cell>
          <cell r="J447">
            <v>2.8206690069431718E-4</v>
          </cell>
          <cell r="K447">
            <v>2.6046675063321335E-4</v>
          </cell>
        </row>
        <row r="448">
          <cell r="B448" t="str">
            <v>G-INTC3</v>
          </cell>
          <cell r="C448" t="str">
            <v>VAR_fin</v>
          </cell>
          <cell r="D448" t="str">
            <v>ELC13</v>
          </cell>
          <cell r="I448">
            <v>194.55398255555437</v>
          </cell>
          <cell r="J448">
            <v>200.57410811116091</v>
          </cell>
          <cell r="K448">
            <v>204.7103111560526</v>
          </cell>
        </row>
        <row r="449">
          <cell r="B449" t="str">
            <v>G-INTC3</v>
          </cell>
          <cell r="C449" t="str">
            <v>VAR_ncap</v>
          </cell>
          <cell r="D449" t="str">
            <v>-</v>
          </cell>
          <cell r="I449">
            <v>4.60483451848145E-8</v>
          </cell>
          <cell r="J449">
            <v>7.4468370515361495E-8</v>
          </cell>
          <cell r="K449">
            <v>2.5336441115751398E-7</v>
          </cell>
        </row>
        <row r="450">
          <cell r="B450" t="str">
            <v>G-INTC3</v>
          </cell>
          <cell r="C450" t="str">
            <v>VAR_cap</v>
          </cell>
          <cell r="D450" t="str">
            <v>-</v>
          </cell>
          <cell r="I450">
            <v>13.914190246815416</v>
          </cell>
          <cell r="J450">
            <v>13.914190269172025</v>
          </cell>
          <cell r="K450">
            <v>13.914190415650115</v>
          </cell>
        </row>
        <row r="451">
          <cell r="B451" t="str">
            <v>HPLBIO</v>
          </cell>
          <cell r="C451" t="str">
            <v>VAR_fout</v>
          </cell>
          <cell r="D451" t="str">
            <v>LTH</v>
          </cell>
          <cell r="I451">
            <v>0.90177485776551836</v>
          </cell>
          <cell r="J451">
            <v>0.90177445495425945</v>
          </cell>
          <cell r="K451">
            <v>0.90177457192155874</v>
          </cell>
        </row>
        <row r="452">
          <cell r="B452" t="str">
            <v>HPLBIO</v>
          </cell>
          <cell r="C452" t="str">
            <v>VAR_fin</v>
          </cell>
          <cell r="D452" t="str">
            <v>EBIO</v>
          </cell>
          <cell r="I452">
            <v>1.1839507374257026</v>
          </cell>
          <cell r="J452">
            <v>1.1839502085701004</v>
          </cell>
          <cell r="K452">
            <v>1.183950362137832</v>
          </cell>
        </row>
        <row r="453">
          <cell r="B453" t="str">
            <v>HPLBIO</v>
          </cell>
          <cell r="C453" t="str">
            <v>VAR_ncap</v>
          </cell>
          <cell r="D453" t="str">
            <v>-</v>
          </cell>
          <cell r="I453">
            <v>5.1448931379198801E-2</v>
          </cell>
          <cell r="J453">
            <v>2.96218415577544E-6</v>
          </cell>
          <cell r="K453">
            <v>6.5089716589432398E-2</v>
          </cell>
        </row>
        <row r="454">
          <cell r="B454" t="str">
            <v>HPLBIO</v>
          </cell>
          <cell r="C454" t="str">
            <v>VAR_cap</v>
          </cell>
          <cell r="D454" t="str">
            <v>-</v>
          </cell>
          <cell r="I454">
            <v>0.11438054609856343</v>
          </cell>
          <cell r="J454">
            <v>0.11438079672424897</v>
          </cell>
          <cell r="K454">
            <v>0.12245297177565891</v>
          </cell>
        </row>
        <row r="455">
          <cell r="B455" t="str">
            <v>ENUC_LRG_BMGL</v>
          </cell>
          <cell r="C455" t="str">
            <v>VAR_fout</v>
          </cell>
          <cell r="D455" t="str">
            <v>LTH</v>
          </cell>
          <cell r="K455">
            <v>3.4382007618978676</v>
          </cell>
        </row>
        <row r="456">
          <cell r="B456" t="str">
            <v>ENUC_LRG_BMGL</v>
          </cell>
          <cell r="C456" t="str">
            <v>VAR_fout</v>
          </cell>
          <cell r="D456" t="str">
            <v>ELC</v>
          </cell>
          <cell r="K456">
            <v>28.323892170855085</v>
          </cell>
        </row>
        <row r="457">
          <cell r="B457" t="str">
            <v>ENUC_LRG_BMGL</v>
          </cell>
          <cell r="C457" t="str">
            <v>VAR_fin</v>
          </cell>
          <cell r="D457" t="str">
            <v>URN</v>
          </cell>
          <cell r="K457">
            <v>92.264809949108411</v>
          </cell>
        </row>
        <row r="458">
          <cell r="B458" t="str">
            <v>ENUC_LRG_BMGL</v>
          </cell>
          <cell r="C458" t="str">
            <v>VAR_ncap</v>
          </cell>
          <cell r="D458" t="str">
            <v>-</v>
          </cell>
          <cell r="J458">
            <v>0.78256039297124502</v>
          </cell>
          <cell r="K458">
            <v>3.3744399084599399</v>
          </cell>
        </row>
        <row r="459">
          <cell r="B459" t="str">
            <v>ENUC_LRG_BMGL</v>
          </cell>
          <cell r="C459" t="str">
            <v>VAR_cap</v>
          </cell>
          <cell r="D459" t="str">
            <v>-</v>
          </cell>
          <cell r="K459">
            <v>1.19999958413778</v>
          </cell>
        </row>
        <row r="460">
          <cell r="B460" t="str">
            <v>CHPGFC</v>
          </cell>
          <cell r="C460" t="str">
            <v>VAR_fout</v>
          </cell>
          <cell r="D460" t="str">
            <v>ELC35</v>
          </cell>
          <cell r="J460">
            <v>5.4716864673696203E-3</v>
          </cell>
          <cell r="K460">
            <v>0.53782047806045374</v>
          </cell>
        </row>
        <row r="461">
          <cell r="B461" t="str">
            <v>CHPGFC</v>
          </cell>
          <cell r="C461" t="str">
            <v>VAR_fout</v>
          </cell>
          <cell r="D461" t="str">
            <v>LTH</v>
          </cell>
          <cell r="J461">
            <v>6.9764002458962632E-3</v>
          </cell>
          <cell r="K461">
            <v>0.71261213343010155</v>
          </cell>
        </row>
        <row r="462">
          <cell r="B462" t="str">
            <v>CHPGFC</v>
          </cell>
          <cell r="C462" t="str">
            <v>VAR_fout</v>
          </cell>
          <cell r="D462" t="str">
            <v>CO2_E</v>
          </cell>
          <cell r="J462">
            <v>0.771507791899116</v>
          </cell>
          <cell r="K462">
            <v>75.832687406523902</v>
          </cell>
        </row>
        <row r="463">
          <cell r="B463" t="str">
            <v>CHPGFC</v>
          </cell>
          <cell r="C463" t="str">
            <v>VAR_fin</v>
          </cell>
          <cell r="D463" t="str">
            <v>ENGA</v>
          </cell>
          <cell r="J463">
            <v>1.3679216168424043E-2</v>
          </cell>
          <cell r="K463">
            <v>1.3445511951511353</v>
          </cell>
        </row>
        <row r="464">
          <cell r="B464" t="str">
            <v>CHPGFC</v>
          </cell>
          <cell r="C464" t="str">
            <v>VAR_ncap</v>
          </cell>
          <cell r="D464" t="str">
            <v>-</v>
          </cell>
          <cell r="J464">
            <v>2.0420330915139599E-4</v>
          </cell>
          <cell r="K464">
            <v>1.9859570683790101E-2</v>
          </cell>
        </row>
        <row r="465">
          <cell r="B465" t="str">
            <v>CHPGFC</v>
          </cell>
          <cell r="C465" t="str">
            <v>VAR_cap</v>
          </cell>
          <cell r="D465" t="str">
            <v>-</v>
          </cell>
          <cell r="J465">
            <v>2.0420330915139599E-4</v>
          </cell>
          <cell r="K465">
            <v>2.0063763482430233E-2</v>
          </cell>
        </row>
        <row r="466">
          <cell r="B466" t="str">
            <v>G-INTC5</v>
          </cell>
          <cell r="C466" t="str">
            <v>VAR_fout</v>
          </cell>
          <cell r="D466" t="str">
            <v>ELC5</v>
          </cell>
          <cell r="I466">
            <v>108.08640046351456</v>
          </cell>
          <cell r="J466">
            <v>161.07774254708659</v>
          </cell>
          <cell r="K466">
            <v>168.90957670007307</v>
          </cell>
        </row>
        <row r="467">
          <cell r="B467" t="str">
            <v>G-INTC5</v>
          </cell>
          <cell r="C467" t="str">
            <v>VAR_fout</v>
          </cell>
          <cell r="D467" t="str">
            <v>ELC13</v>
          </cell>
          <cell r="I467">
            <v>4.2340892336141457E-4</v>
          </cell>
          <cell r="J467">
            <v>2.3224472407038521E-4</v>
          </cell>
          <cell r="K467">
            <v>2.3179446333170261E-4</v>
          </cell>
        </row>
        <row r="468">
          <cell r="B468" t="str">
            <v>G-INTC5</v>
          </cell>
          <cell r="C468" t="str">
            <v>VAR_fin</v>
          </cell>
          <cell r="D468" t="str">
            <v>ELC35</v>
          </cell>
          <cell r="I468">
            <v>112.14142108863271</v>
          </cell>
          <cell r="J468">
            <v>166.52225747710543</v>
          </cell>
          <cell r="K468">
            <v>173.37772794459474</v>
          </cell>
        </row>
        <row r="469">
          <cell r="B469" t="str">
            <v>G-INTC5</v>
          </cell>
          <cell r="C469" t="str">
            <v>VAR_ncap</v>
          </cell>
          <cell r="D469" t="str">
            <v>-</v>
          </cell>
          <cell r="I469">
            <v>2.0934960066217699E-7</v>
          </cell>
          <cell r="J469">
            <v>3.3299533773172598E-7</v>
          </cell>
          <cell r="K469">
            <v>1.11477383954233E-6</v>
          </cell>
        </row>
        <row r="470">
          <cell r="B470" t="str">
            <v>G-INTC5</v>
          </cell>
          <cell r="C470" t="str">
            <v>VAR_cap</v>
          </cell>
          <cell r="D470" t="str">
            <v>-</v>
          </cell>
          <cell r="I470">
            <v>12.649264149023894</v>
          </cell>
          <cell r="J470">
            <v>12.649264248104407</v>
          </cell>
          <cell r="K470">
            <v>12.649264902846204</v>
          </cell>
        </row>
        <row r="471">
          <cell r="B471" t="str">
            <v>D-SLFO</v>
          </cell>
          <cell r="C471" t="str">
            <v>VAR_fout</v>
          </cell>
          <cell r="D471" t="str">
            <v>CO2</v>
          </cell>
          <cell r="I471">
            <v>1139.1831497641899</v>
          </cell>
          <cell r="J471">
            <v>915.13020285499499</v>
          </cell>
          <cell r="K471">
            <v>390.40117163068498</v>
          </cell>
        </row>
        <row r="472">
          <cell r="B472" t="str">
            <v>D-SLFO</v>
          </cell>
          <cell r="C472" t="str">
            <v>VAR_fout</v>
          </cell>
          <cell r="D472" t="str">
            <v>SLFO</v>
          </cell>
          <cell r="I472">
            <v>15.198950967128347</v>
          </cell>
          <cell r="J472">
            <v>12.209611856429746</v>
          </cell>
          <cell r="K472">
            <v>5.2087156279817108</v>
          </cell>
        </row>
        <row r="473">
          <cell r="B473" t="str">
            <v>D-SLFO</v>
          </cell>
          <cell r="C473" t="str">
            <v>VAR_fin</v>
          </cell>
          <cell r="D473" t="str">
            <v>LFO</v>
          </cell>
          <cell r="I473">
            <v>15.457030525972675</v>
          </cell>
          <cell r="J473">
            <v>12.416963403731263</v>
          </cell>
          <cell r="K473">
            <v>5.2971665078790373</v>
          </cell>
        </row>
        <row r="474">
          <cell r="B474" t="str">
            <v>D-SLFO</v>
          </cell>
          <cell r="C474" t="str">
            <v>VAR_fin</v>
          </cell>
          <cell r="D474" t="str">
            <v>BDS</v>
          </cell>
          <cell r="I474">
            <v>7.2095912023587572E-5</v>
          </cell>
          <cell r="J474">
            <v>2.665742299766968E-5</v>
          </cell>
          <cell r="K474">
            <v>1.8219175504481322E-5</v>
          </cell>
        </row>
        <row r="475">
          <cell r="B475" t="str">
            <v>D-RCOA</v>
          </cell>
          <cell r="C475" t="str">
            <v>VAR_fout</v>
          </cell>
          <cell r="D475" t="str">
            <v>CO2</v>
          </cell>
          <cell r="I475">
            <v>2.1076302150538E-2</v>
          </cell>
        </row>
        <row r="476">
          <cell r="B476" t="str">
            <v>D-RCOA</v>
          </cell>
          <cell r="C476" t="str">
            <v>VAR_fout</v>
          </cell>
          <cell r="D476" t="str">
            <v>RCOA</v>
          </cell>
          <cell r="I476">
            <v>2.2736032524852179E-4</v>
          </cell>
        </row>
        <row r="477">
          <cell r="B477" t="str">
            <v>D-RCOA</v>
          </cell>
          <cell r="C477" t="str">
            <v>VAR_fin</v>
          </cell>
          <cell r="D477" t="str">
            <v>COA</v>
          </cell>
          <cell r="I477">
            <v>2.2736032524852179E-4</v>
          </cell>
        </row>
        <row r="478">
          <cell r="B478" t="str">
            <v>EHYD-RUN00</v>
          </cell>
          <cell r="C478" t="str">
            <v>VAR_fout</v>
          </cell>
          <cell r="D478" t="str">
            <v>ELC13</v>
          </cell>
          <cell r="I478">
            <v>51.092952183321678</v>
          </cell>
          <cell r="J478">
            <v>50.000609920499777</v>
          </cell>
          <cell r="K478">
            <v>47.814384123161616</v>
          </cell>
        </row>
        <row r="479">
          <cell r="B479" t="str">
            <v>EHYD-RUN00</v>
          </cell>
          <cell r="C479" t="str">
            <v>VAR_fin</v>
          </cell>
          <cell r="D479" t="str">
            <v>HYDR</v>
          </cell>
          <cell r="I479">
            <v>51.092952183321678</v>
          </cell>
          <cell r="J479">
            <v>50.000609920499777</v>
          </cell>
          <cell r="K479">
            <v>47.814384123161616</v>
          </cell>
        </row>
        <row r="480">
          <cell r="B480" t="str">
            <v>EHYD-RUN00</v>
          </cell>
          <cell r="C480" t="str">
            <v>VAR_cap</v>
          </cell>
          <cell r="D480" t="str">
            <v>-</v>
          </cell>
          <cell r="I480">
            <v>3.9647700000000001</v>
          </cell>
          <cell r="J480">
            <v>3.9647700000000001</v>
          </cell>
          <cell r="K480">
            <v>3.9647700000000001</v>
          </cell>
        </row>
        <row r="481">
          <cell r="B481" t="str">
            <v>HPLELCHP</v>
          </cell>
          <cell r="C481" t="str">
            <v>VAR_fout</v>
          </cell>
          <cell r="D481" t="str">
            <v>LTH</v>
          </cell>
          <cell r="I481">
            <v>5.558172980119048</v>
          </cell>
          <cell r="J481">
            <v>5.8416955807006952</v>
          </cell>
          <cell r="K481">
            <v>6.4528660898124457</v>
          </cell>
        </row>
        <row r="482">
          <cell r="B482" t="str">
            <v>HPLELCHP</v>
          </cell>
          <cell r="C482" t="str">
            <v>VAR_fin</v>
          </cell>
          <cell r="D482" t="str">
            <v>ELC35</v>
          </cell>
          <cell r="I482">
            <v>1.8527243267063493</v>
          </cell>
          <cell r="J482">
            <v>1.9472318602335668</v>
          </cell>
          <cell r="K482">
            <v>2.1509553632708176</v>
          </cell>
        </row>
        <row r="483">
          <cell r="B483" t="str">
            <v>HPLELCHP</v>
          </cell>
          <cell r="C483" t="str">
            <v>VAR_fin</v>
          </cell>
          <cell r="D483" t="str">
            <v>WWTPCC</v>
          </cell>
          <cell r="I483">
            <v>11.1163459602381</v>
          </cell>
          <cell r="J483">
            <v>11.683391161401399</v>
          </cell>
          <cell r="K483">
            <v>12.9057321796249</v>
          </cell>
        </row>
        <row r="484">
          <cell r="B484" t="str">
            <v>HPLELCHP</v>
          </cell>
          <cell r="C484" t="str">
            <v>VAR_ncap</v>
          </cell>
          <cell r="D484" t="str">
            <v>-</v>
          </cell>
          <cell r="I484">
            <v>1.66148663916139E-2</v>
          </cell>
          <cell r="J484">
            <v>0.162250435495496</v>
          </cell>
          <cell r="K484">
            <v>0.217734371996918</v>
          </cell>
        </row>
        <row r="485">
          <cell r="B485" t="str">
            <v>HPLELCHP</v>
          </cell>
          <cell r="C485" t="str">
            <v>VAR_cap</v>
          </cell>
          <cell r="D485" t="str">
            <v>-</v>
          </cell>
          <cell r="I485">
            <v>0.34224754799112816</v>
          </cell>
          <cell r="J485">
            <v>0.35970317251290296</v>
          </cell>
          <cell r="K485">
            <v>0.39733210606357006</v>
          </cell>
        </row>
        <row r="486">
          <cell r="B486" t="str">
            <v>D-ITOT_LTH</v>
          </cell>
          <cell r="C486" t="str">
            <v>VAR_fout</v>
          </cell>
          <cell r="D486" t="str">
            <v>ITOT_LTH_DH</v>
          </cell>
          <cell r="I486">
            <v>7.6289168097557241</v>
          </cell>
          <cell r="J486">
            <v>7.6289181852543591</v>
          </cell>
          <cell r="K486">
            <v>9.5600050299261028</v>
          </cell>
        </row>
        <row r="487">
          <cell r="B487" t="str">
            <v>D-ITOT_LTH</v>
          </cell>
          <cell r="C487" t="str">
            <v>VAR_fin</v>
          </cell>
          <cell r="D487" t="str">
            <v>LTH</v>
          </cell>
          <cell r="I487">
            <v>8.277272740045996</v>
          </cell>
          <cell r="J487">
            <v>8.2718486462923124</v>
          </cell>
          <cell r="K487">
            <v>10.352107495681693</v>
          </cell>
        </row>
        <row r="488">
          <cell r="B488" t="str">
            <v>D-ITOT_LTH</v>
          </cell>
          <cell r="C488" t="str">
            <v>VAR_ncap</v>
          </cell>
          <cell r="D488" t="str">
            <v>-</v>
          </cell>
          <cell r="J488">
            <v>1.30918765078439E-8</v>
          </cell>
          <cell r="K488">
            <v>2.3074650023083601E-8</v>
          </cell>
        </row>
        <row r="489">
          <cell r="B489" t="str">
            <v>D-ITOT_LTH</v>
          </cell>
          <cell r="C489" t="str">
            <v>VAR_cap</v>
          </cell>
          <cell r="D489" t="str">
            <v>-</v>
          </cell>
          <cell r="I489">
            <v>0.79547232425522396</v>
          </cell>
          <cell r="J489">
            <v>0.79547233734710099</v>
          </cell>
          <cell r="K489">
            <v>0.79547236042175096</v>
          </cell>
        </row>
        <row r="490">
          <cell r="B490" t="str">
            <v>D-IH2</v>
          </cell>
          <cell r="C490" t="str">
            <v>VAR_fout</v>
          </cell>
          <cell r="D490" t="str">
            <v>IH2</v>
          </cell>
          <cell r="I490">
            <v>3.1123676895774481E-4</v>
          </cell>
          <cell r="J490">
            <v>2.7440448683306329E-4</v>
          </cell>
          <cell r="K490">
            <v>3.0320953918044555E-2</v>
          </cell>
        </row>
        <row r="491">
          <cell r="B491" t="str">
            <v>D-IH2</v>
          </cell>
          <cell r="C491" t="str">
            <v>VAR_fin</v>
          </cell>
          <cell r="D491" t="str">
            <v>H2</v>
          </cell>
          <cell r="I491">
            <v>3.1360789142924339E-4</v>
          </cell>
          <cell r="J491">
            <v>2.7649500668773454E-4</v>
          </cell>
          <cell r="K491">
            <v>3.0551950710078803E-2</v>
          </cell>
        </row>
        <row r="492">
          <cell r="B492" t="str">
            <v>D-IH2</v>
          </cell>
          <cell r="C492" t="str">
            <v>VAR_ncap</v>
          </cell>
          <cell r="D492" t="str">
            <v>-</v>
          </cell>
          <cell r="I492">
            <v>1.5598755794744401E-5</v>
          </cell>
          <cell r="J492">
            <v>1.5476457004048701E-6</v>
          </cell>
          <cell r="K492">
            <v>4.6797608587911604E-3</v>
          </cell>
        </row>
        <row r="493">
          <cell r="B493" t="str">
            <v>D-IH2</v>
          </cell>
          <cell r="C493" t="str">
            <v>VAR_cap</v>
          </cell>
          <cell r="D493" t="str">
            <v>-</v>
          </cell>
          <cell r="I493">
            <v>4.4255100295519003E-5</v>
          </cell>
          <cell r="J493">
            <v>4.5802745995923902E-5</v>
          </cell>
          <cell r="K493">
            <v>4.7255636047870801E-3</v>
          </cell>
        </row>
        <row r="494">
          <cell r="B494" t="str">
            <v>RHEM-ESOLPV</v>
          </cell>
          <cell r="C494" t="str">
            <v>VAR_fout</v>
          </cell>
          <cell r="D494" t="str">
            <v>RHEM_SOL_ELC</v>
          </cell>
          <cell r="I494">
            <v>2.0386270469743817</v>
          </cell>
          <cell r="J494">
            <v>2.1426175841173398</v>
          </cell>
          <cell r="K494">
            <v>2.3667828230175276</v>
          </cell>
        </row>
        <row r="495">
          <cell r="B495" t="str">
            <v>RHEM-ESOLPV</v>
          </cell>
          <cell r="C495" t="str">
            <v>VAR_fin</v>
          </cell>
          <cell r="D495" t="str">
            <v>SOL</v>
          </cell>
          <cell r="I495">
            <v>2.0386270469743817</v>
          </cell>
          <cell r="J495">
            <v>2.1426175841173398</v>
          </cell>
          <cell r="K495">
            <v>2.3667828230175276</v>
          </cell>
        </row>
        <row r="496">
          <cell r="B496" t="str">
            <v>RHEM-ESOLPV</v>
          </cell>
          <cell r="C496" t="str">
            <v>VAR_fin</v>
          </cell>
          <cell r="D496" t="str">
            <v>SOLPVC</v>
          </cell>
          <cell r="I496">
            <v>2.0386270469743799</v>
          </cell>
          <cell r="J496">
            <v>2.1426175841173398</v>
          </cell>
          <cell r="K496">
            <v>2.3667828230175298</v>
          </cell>
        </row>
        <row r="497">
          <cell r="B497" t="str">
            <v>RHEM-ESOLPV</v>
          </cell>
          <cell r="C497" t="str">
            <v>VAR_ncap</v>
          </cell>
          <cell r="D497" t="str">
            <v>-</v>
          </cell>
          <cell r="I497">
            <v>0.11696988453142899</v>
          </cell>
          <cell r="J497">
            <v>0.25496588176866097</v>
          </cell>
          <cell r="K497">
            <v>0.33410028206503101</v>
          </cell>
        </row>
        <row r="498">
          <cell r="B498" t="str">
            <v>RHEM-ESOLPV</v>
          </cell>
          <cell r="C498" t="str">
            <v>VAR_cap</v>
          </cell>
          <cell r="D498" t="str">
            <v>-</v>
          </cell>
          <cell r="I498">
            <v>0.58767757714264202</v>
          </cell>
          <cell r="J498">
            <v>0.61765506041579299</v>
          </cell>
          <cell r="K498">
            <v>0.68227484488734602</v>
          </cell>
        </row>
        <row r="499">
          <cell r="B499" t="str">
            <v>HPLNUC</v>
          </cell>
          <cell r="C499" t="str">
            <v>VAR_fout</v>
          </cell>
          <cell r="D499" t="str">
            <v>LTH</v>
          </cell>
          <cell r="I499">
            <v>0.85637962630044373</v>
          </cell>
          <cell r="J499">
            <v>0.85640405241991435</v>
          </cell>
          <cell r="K499">
            <v>0.28137070514899742</v>
          </cell>
        </row>
        <row r="500">
          <cell r="B500" t="str">
            <v>HPLNUC</v>
          </cell>
          <cell r="C500" t="str">
            <v>VAR_fin</v>
          </cell>
          <cell r="D500" t="str">
            <v>URN</v>
          </cell>
          <cell r="I500">
            <v>0.85637962630044373</v>
          </cell>
          <cell r="J500">
            <v>0.85640405241991435</v>
          </cell>
          <cell r="K500">
            <v>0.28137070514899742</v>
          </cell>
        </row>
        <row r="501">
          <cell r="B501" t="str">
            <v>HPLNUC</v>
          </cell>
          <cell r="C501" t="str">
            <v>VAR_cap</v>
          </cell>
          <cell r="D501" t="str">
            <v>-</v>
          </cell>
          <cell r="I501">
            <v>0.120558721922211</v>
          </cell>
          <cell r="J501">
            <v>0.120558721922211</v>
          </cell>
          <cell r="K501">
            <v>0.10944824367396699</v>
          </cell>
        </row>
        <row r="502">
          <cell r="B502" t="str">
            <v>ITOT-CHPWODCCS</v>
          </cell>
          <cell r="C502" t="str">
            <v>VAR_fin</v>
          </cell>
          <cell r="D502" t="str">
            <v>IWOD</v>
          </cell>
          <cell r="J502">
            <v>1.9541322958935716E-5</v>
          </cell>
          <cell r="K502">
            <v>5.8745827365306462E-5</v>
          </cell>
        </row>
        <row r="503">
          <cell r="B503" t="str">
            <v>SUP_WODBIO</v>
          </cell>
          <cell r="C503" t="str">
            <v>VAR_fout</v>
          </cell>
          <cell r="D503" t="str">
            <v>ELC35</v>
          </cell>
          <cell r="K503">
            <v>1.2055043787867822E-6</v>
          </cell>
        </row>
        <row r="504">
          <cell r="B504" t="str">
            <v>SUP_WODBIO</v>
          </cell>
          <cell r="C504" t="str">
            <v>VAR_fout</v>
          </cell>
          <cell r="D504" t="str">
            <v>BIO</v>
          </cell>
          <cell r="I504">
            <v>3.3843141602637345E-5</v>
          </cell>
          <cell r="J504">
            <v>3.4151914119918363E-5</v>
          </cell>
          <cell r="K504">
            <v>4.4378509955864003E-5</v>
          </cell>
        </row>
        <row r="505">
          <cell r="B505" t="str">
            <v>SUP_WODBIO</v>
          </cell>
          <cell r="C505" t="str">
            <v>VAR_fout</v>
          </cell>
          <cell r="D505" t="str">
            <v>LTH</v>
          </cell>
          <cell r="I505">
            <v>3.841939021635431E-6</v>
          </cell>
          <cell r="J505">
            <v>2.9175503723810871E-6</v>
          </cell>
          <cell r="K505">
            <v>3.8650938782006872E-6</v>
          </cell>
        </row>
        <row r="506">
          <cell r="B506" t="str">
            <v>SUP_WODBIO</v>
          </cell>
          <cell r="C506" t="str">
            <v>VAR_fin</v>
          </cell>
          <cell r="D506" t="str">
            <v>CWOD</v>
          </cell>
          <cell r="I506">
            <v>4.5688241163560381E-5</v>
          </cell>
          <cell r="J506">
            <v>4.6105084061889807E-5</v>
          </cell>
          <cell r="K506">
            <v>5.9910988440416445E-5</v>
          </cell>
        </row>
        <row r="507">
          <cell r="B507" t="str">
            <v>SUP_WODBIO</v>
          </cell>
          <cell r="C507" t="str">
            <v>VAR_ncap</v>
          </cell>
          <cell r="D507" t="str">
            <v>-</v>
          </cell>
          <cell r="I507">
            <v>1.2814144703102901E-6</v>
          </cell>
          <cell r="J507">
            <v>1.0408011825654101E-6</v>
          </cell>
          <cell r="K507">
            <v>1.17537152836633E-6</v>
          </cell>
        </row>
        <row r="508">
          <cell r="B508" t="str">
            <v>SUP_WODBIO</v>
          </cell>
          <cell r="C508" t="str">
            <v>VAR_cap</v>
          </cell>
          <cell r="D508" t="str">
            <v>-</v>
          </cell>
          <cell r="I508">
            <v>5.3770507101979515E-6</v>
          </cell>
          <cell r="J508">
            <v>4.4713429415519933E-6</v>
          </cell>
          <cell r="K508">
            <v>3.2166428354742968E-6</v>
          </cell>
        </row>
        <row r="509">
          <cell r="B509" t="str">
            <v>D-RLFO</v>
          </cell>
          <cell r="C509" t="str">
            <v>VAR_fout</v>
          </cell>
          <cell r="D509" t="str">
            <v>CO2</v>
          </cell>
          <cell r="I509">
            <v>1776.8315804434401</v>
          </cell>
          <cell r="J509">
            <v>1328.0398190306801</v>
          </cell>
          <cell r="K509">
            <v>443.679863187416</v>
          </cell>
        </row>
        <row r="510">
          <cell r="B510" t="str">
            <v>D-RLFO</v>
          </cell>
          <cell r="C510" t="str">
            <v>VAR_fout</v>
          </cell>
          <cell r="D510" t="str">
            <v>RLFO</v>
          </cell>
          <cell r="I510">
            <v>23.706399622778939</v>
          </cell>
          <cell r="J510">
            <v>17.718615302847336</v>
          </cell>
          <cell r="K510">
            <v>5.9195550430202317</v>
          </cell>
        </row>
        <row r="511">
          <cell r="B511" t="str">
            <v>D-RLFO</v>
          </cell>
          <cell r="C511" t="str">
            <v>VAR_fin</v>
          </cell>
          <cell r="D511" t="str">
            <v>LFO</v>
          </cell>
          <cell r="I511">
            <v>24.108976668160636</v>
          </cell>
          <cell r="J511">
            <v>18.019536214798968</v>
          </cell>
          <cell r="K511">
            <v>6.0200795547817698</v>
          </cell>
        </row>
        <row r="512">
          <cell r="B512" t="str">
            <v>D-RLFO</v>
          </cell>
          <cell r="C512" t="str">
            <v>VAR_fin</v>
          </cell>
          <cell r="D512" t="str">
            <v>BDS</v>
          </cell>
          <cell r="I512">
            <v>7.2150039884822257E-5</v>
          </cell>
          <cell r="J512">
            <v>2.6790147019171583E-5</v>
          </cell>
          <cell r="K512">
            <v>1.8269148802687759E-5</v>
          </cell>
        </row>
        <row r="513">
          <cell r="B513" t="str">
            <v>G-INTC-EXP00-IT</v>
          </cell>
          <cell r="C513" t="str">
            <v>VAR_fout</v>
          </cell>
          <cell r="D513" t="str">
            <v>ELC_E-IT</v>
          </cell>
          <cell r="I513">
            <v>41.325669960079331</v>
          </cell>
          <cell r="J513">
            <v>20.464958427965954</v>
          </cell>
          <cell r="K513">
            <v>19.598140571321029</v>
          </cell>
        </row>
        <row r="514">
          <cell r="B514" t="str">
            <v>G-INTC-EXP00-IT</v>
          </cell>
          <cell r="C514" t="str">
            <v>VAR_fin</v>
          </cell>
          <cell r="D514" t="str">
            <v>ELC</v>
          </cell>
          <cell r="I514">
            <v>41.325669960079331</v>
          </cell>
          <cell r="J514">
            <v>20.464958427965954</v>
          </cell>
          <cell r="K514">
            <v>19.598140571321029</v>
          </cell>
        </row>
        <row r="515">
          <cell r="B515" t="str">
            <v>G-INTC-EXP00-IT</v>
          </cell>
          <cell r="C515" t="str">
            <v>VAR_ncap</v>
          </cell>
          <cell r="D515" t="str">
            <v>-</v>
          </cell>
          <cell r="I515">
            <v>1.2723401893834299E-7</v>
          </cell>
          <cell r="J515">
            <v>2.1804804431360399E-7</v>
          </cell>
          <cell r="K515">
            <v>3.8949628422390602E-7</v>
          </cell>
        </row>
        <row r="516">
          <cell r="B516" t="str">
            <v>G-INTC-EXP00-IT</v>
          </cell>
          <cell r="C516" t="str">
            <v>VAR_cap</v>
          </cell>
          <cell r="D516" t="str">
            <v>-</v>
          </cell>
          <cell r="I516">
            <v>3.7500002335786875</v>
          </cell>
          <cell r="J516">
            <v>2.4000001479842474</v>
          </cell>
          <cell r="K516">
            <v>2.4000001664147157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  <cell r="J517">
            <v>1.9577437558714795E-5</v>
          </cell>
          <cell r="K517">
            <v>5.8992472237913914E-5</v>
          </cell>
        </row>
        <row r="518">
          <cell r="B518" t="str">
            <v>EOIL-ENG</v>
          </cell>
          <cell r="C518" t="str">
            <v>VAR_fout</v>
          </cell>
          <cell r="D518" t="str">
            <v>ELC35</v>
          </cell>
          <cell r="I518">
            <v>2.5783477115648787E-4</v>
          </cell>
          <cell r="J518">
            <v>1.6050098544631721E-4</v>
          </cell>
          <cell r="K518">
            <v>4.9370567196468321E-4</v>
          </cell>
        </row>
        <row r="519">
          <cell r="B519" t="str">
            <v>EOIL-ENG</v>
          </cell>
          <cell r="C519" t="str">
            <v>VAR_fout</v>
          </cell>
          <cell r="D519" t="str">
            <v>CO2_E</v>
          </cell>
          <cell r="I519">
            <v>6.37449953161843E-2</v>
          </cell>
          <cell r="J519">
            <v>3.84454539913082E-2</v>
          </cell>
          <cell r="K519">
            <v>0.115299314202502</v>
          </cell>
        </row>
        <row r="520">
          <cell r="B520" t="str">
            <v>EOIL-ENG</v>
          </cell>
          <cell r="C520" t="str">
            <v>VAR_fin</v>
          </cell>
          <cell r="D520" t="str">
            <v>ELFO</v>
          </cell>
          <cell r="I520">
            <v>8.6492530958187631E-4</v>
          </cell>
          <cell r="J520">
            <v>5.2164795103538876E-4</v>
          </cell>
          <cell r="K520">
            <v>1.564441169640462E-3</v>
          </cell>
        </row>
        <row r="521">
          <cell r="B521" t="str">
            <v>EOIL-ENG</v>
          </cell>
          <cell r="C521" t="str">
            <v>VAR_ncap</v>
          </cell>
          <cell r="D521" t="str">
            <v>-</v>
          </cell>
          <cell r="I521">
            <v>2.02659648786533E-3</v>
          </cell>
          <cell r="J521">
            <v>7.2660508656170603E-3</v>
          </cell>
          <cell r="K521">
            <v>6.6026016385823598E-7</v>
          </cell>
        </row>
        <row r="522">
          <cell r="B522" t="str">
            <v>EOIL-ENG</v>
          </cell>
          <cell r="C522" t="str">
            <v>VAR_cap</v>
          </cell>
          <cell r="D522" t="str">
            <v>-</v>
          </cell>
          <cell r="I522">
            <v>9.038988099368055E-3</v>
          </cell>
          <cell r="J522">
            <v>1.6304736507707591E-2</v>
          </cell>
          <cell r="K522">
            <v>9.2997893850978366E-3</v>
          </cell>
        </row>
        <row r="523">
          <cell r="B523" t="str">
            <v>D-SWOD</v>
          </cell>
          <cell r="C523" t="str">
            <v>VAR_fout</v>
          </cell>
          <cell r="D523" t="str">
            <v>SWOD</v>
          </cell>
          <cell r="I523">
            <v>8.6242962080014305</v>
          </cell>
          <cell r="J523">
            <v>7.8973811821380391</v>
          </cell>
          <cell r="K523">
            <v>6.875825841315077</v>
          </cell>
        </row>
        <row r="524">
          <cell r="B524" t="str">
            <v>D-SWOD</v>
          </cell>
          <cell r="C524" t="str">
            <v>VAR_fin</v>
          </cell>
          <cell r="D524" t="str">
            <v>WOD</v>
          </cell>
          <cell r="I524">
            <v>8.6242962080014305</v>
          </cell>
          <cell r="J524">
            <v>7.8973811821380391</v>
          </cell>
          <cell r="K524">
            <v>6.875825841315077</v>
          </cell>
        </row>
        <row r="525">
          <cell r="B525" t="str">
            <v>SCOM-CHPWOD</v>
          </cell>
          <cell r="C525" t="str">
            <v>VAR_fout</v>
          </cell>
          <cell r="D525" t="str">
            <v>SCOM_KEV_WOD_ELC_CHP</v>
          </cell>
          <cell r="I525">
            <v>2.3071583948724853E-4</v>
          </cell>
          <cell r="J525">
            <v>1.2132645780387389E-4</v>
          </cell>
          <cell r="K525">
            <v>8.804073504807749E-5</v>
          </cell>
        </row>
        <row r="526">
          <cell r="B526" t="str">
            <v>SCOM-CHPWOD</v>
          </cell>
          <cell r="C526" t="str">
            <v>VAR_fout</v>
          </cell>
          <cell r="D526" t="str">
            <v>SCOM_LTH_CHPWOD</v>
          </cell>
          <cell r="I526">
            <v>3.607761564448145E-4</v>
          </cell>
          <cell r="J526">
            <v>1.8554234944144751E-4</v>
          </cell>
          <cell r="K526">
            <v>1.2929627653304485E-4</v>
          </cell>
        </row>
        <row r="527">
          <cell r="B527" t="str">
            <v>SCOM-CHPWOD</v>
          </cell>
          <cell r="C527" t="str">
            <v>VAR_fin</v>
          </cell>
          <cell r="D527" t="str">
            <v>SWOD</v>
          </cell>
          <cell r="I527">
            <v>7.7497608738914651E-4</v>
          </cell>
          <cell r="J527">
            <v>3.9540666372721924E-4</v>
          </cell>
          <cell r="K527">
            <v>3.5811463498836525E-4</v>
          </cell>
        </row>
        <row r="528">
          <cell r="B528" t="str">
            <v>SCOM-CHPWOD</v>
          </cell>
          <cell r="C528" t="str">
            <v>VAR_ncap</v>
          </cell>
          <cell r="D528" t="str">
            <v>-</v>
          </cell>
          <cell r="I528">
            <v>4.2521837057307398E-6</v>
          </cell>
          <cell r="J528">
            <v>1.13633940142297E-7</v>
          </cell>
          <cell r="K528">
            <v>7.3029105250449401E-6</v>
          </cell>
        </row>
        <row r="529">
          <cell r="B529" t="str">
            <v>SCOM-CHPWOD</v>
          </cell>
          <cell r="C529" t="str">
            <v>VAR_cap</v>
          </cell>
          <cell r="D529" t="str">
            <v>-</v>
          </cell>
          <cell r="I529">
            <v>2.0057975750929001E-5</v>
          </cell>
          <cell r="J529">
            <v>1.514018795331668E-5</v>
          </cell>
          <cell r="K529">
            <v>9.1736192696294675E-6</v>
          </cell>
        </row>
        <row r="530">
          <cell r="B530" t="str">
            <v>ENUC_BMGL</v>
          </cell>
          <cell r="C530" t="str">
            <v>VAR_fout</v>
          </cell>
          <cell r="D530" t="str">
            <v>ELC</v>
          </cell>
        </row>
        <row r="531">
          <cell r="B531" t="str">
            <v>ENUC_BMGL</v>
          </cell>
          <cell r="C531" t="str">
            <v>VAR_fin</v>
          </cell>
          <cell r="D531" t="str">
            <v>URN</v>
          </cell>
        </row>
        <row r="532">
          <cell r="B532" t="str">
            <v>ENUC_BMGL</v>
          </cell>
          <cell r="C532" t="str">
            <v>VAR_cap</v>
          </cell>
          <cell r="D532" t="str">
            <v>-</v>
          </cell>
        </row>
        <row r="533">
          <cell r="B533" t="str">
            <v>ENGA-GTOC</v>
          </cell>
          <cell r="C533" t="str">
            <v>VAR_fout</v>
          </cell>
          <cell r="D533" t="str">
            <v>ELC13</v>
          </cell>
          <cell r="I533">
            <v>6.9264626218754045E-4</v>
          </cell>
          <cell r="J533">
            <v>2.4362720815747439E-4</v>
          </cell>
          <cell r="K533">
            <v>1.5749181866840636E-3</v>
          </cell>
        </row>
        <row r="534">
          <cell r="B534" t="str">
            <v>ENGA-GTOC</v>
          </cell>
          <cell r="C534" t="str">
            <v>VAR_fout</v>
          </cell>
          <cell r="D534" t="str">
            <v>CO2_E</v>
          </cell>
          <cell r="I534">
            <v>9.9725710353933794E-2</v>
          </cell>
          <cell r="J534">
            <v>3.7808565277709698E-2</v>
          </cell>
          <cell r="K534">
            <v>0.209818740179394</v>
          </cell>
        </row>
        <row r="535">
          <cell r="B535" t="str">
            <v>ENGA-GTOC</v>
          </cell>
          <cell r="C535" t="str">
            <v>VAR_fin</v>
          </cell>
          <cell r="D535" t="str">
            <v>ENGA</v>
          </cell>
          <cell r="I535">
            <v>1.7681863537931536E-3</v>
          </cell>
          <cell r="J535">
            <v>6.7036463258350533E-4</v>
          </cell>
          <cell r="K535">
            <v>3.7201904287126638E-3</v>
          </cell>
        </row>
        <row r="536">
          <cell r="B536" t="str">
            <v>ENGA-GTOC</v>
          </cell>
          <cell r="C536" t="str">
            <v>VAR_fin</v>
          </cell>
          <cell r="D536" t="str">
            <v>GTC</v>
          </cell>
          <cell r="I536">
            <v>1.09215462800992E-4</v>
          </cell>
          <cell r="J536">
            <v>4.5349862181035867E-4</v>
          </cell>
          <cell r="K536">
            <v>4.5357794575154168E-4</v>
          </cell>
        </row>
        <row r="537">
          <cell r="B537" t="str">
            <v>ENGA-GTOC</v>
          </cell>
          <cell r="C537" t="str">
            <v>VAR_ncap</v>
          </cell>
          <cell r="D537" t="str">
            <v>-</v>
          </cell>
          <cell r="I537">
            <v>4.5351891917342702E-4</v>
          </cell>
          <cell r="J537">
            <v>3.0711330699769399E-7</v>
          </cell>
          <cell r="K537">
            <v>1.67957628888508E-7</v>
          </cell>
        </row>
        <row r="538">
          <cell r="B538" t="str">
            <v>ENGA-GTOC</v>
          </cell>
          <cell r="C538" t="str">
            <v>VAR_cap</v>
          </cell>
          <cell r="D538" t="str">
            <v>-</v>
          </cell>
          <cell r="I538">
            <v>1.09215462800992E-4</v>
          </cell>
          <cell r="J538">
            <v>4.5349862181035883E-4</v>
          </cell>
          <cell r="K538">
            <v>4.5357794575154179E-4</v>
          </cell>
        </row>
        <row r="539">
          <cell r="B539" t="str">
            <v>D-RWOD</v>
          </cell>
          <cell r="C539" t="str">
            <v>VAR_fout</v>
          </cell>
          <cell r="D539" t="str">
            <v>RWOD</v>
          </cell>
          <cell r="I539">
            <v>13.995905833598995</v>
          </cell>
          <cell r="J539">
            <v>12.745830737301018</v>
          </cell>
          <cell r="K539">
            <v>10.110824060850018</v>
          </cell>
        </row>
        <row r="540">
          <cell r="B540" t="str">
            <v>D-RWOD</v>
          </cell>
          <cell r="C540" t="str">
            <v>VAR_fin</v>
          </cell>
          <cell r="D540" t="str">
            <v>WOD</v>
          </cell>
          <cell r="I540">
            <v>13.995905833598995</v>
          </cell>
          <cell r="J540">
            <v>12.745830737301018</v>
          </cell>
          <cell r="K540">
            <v>10.110824060850018</v>
          </cell>
        </row>
        <row r="541">
          <cell r="B541" t="str">
            <v>SCOM-CHPGFC</v>
          </cell>
          <cell r="C541" t="str">
            <v>VAR_fout</v>
          </cell>
          <cell r="D541" t="str">
            <v>CO2_S</v>
          </cell>
          <cell r="I541">
            <v>3.4031428764550599E-2</v>
          </cell>
          <cell r="J541">
            <v>7.5188321107435202E-2</v>
          </cell>
          <cell r="K541">
            <v>4.1703661552175801E-2</v>
          </cell>
        </row>
        <row r="542">
          <cell r="B542" t="str">
            <v>SCOM-CHPGFC</v>
          </cell>
          <cell r="C542" t="str">
            <v>VAR_fout</v>
          </cell>
          <cell r="D542" t="str">
            <v>SCOM_NKEV_GAS_ELC_CHP</v>
          </cell>
          <cell r="I542">
            <v>3.6493273576860099E-4</v>
          </cell>
          <cell r="J542">
            <v>8.1313061543028195E-4</v>
          </cell>
          <cell r="K542">
            <v>4.5839461067679135E-4</v>
          </cell>
        </row>
        <row r="543">
          <cell r="B543" t="str">
            <v>SCOM-CHPGFC</v>
          </cell>
          <cell r="C543" t="str">
            <v>VAR_fout</v>
          </cell>
          <cell r="D543" t="str">
            <v>SCOM_LTH_CHPNGA</v>
          </cell>
          <cell r="I543">
            <v>1.0836247070111577E-4</v>
          </cell>
          <cell r="J543">
            <v>2.3969755483192718E-4</v>
          </cell>
          <cell r="K543">
            <v>1.3285439347604191E-4</v>
          </cell>
        </row>
        <row r="544">
          <cell r="B544" t="str">
            <v>SCOM-CHPGFC</v>
          </cell>
          <cell r="C544" t="str">
            <v>VAR_fin</v>
          </cell>
          <cell r="D544" t="str">
            <v>SNGA</v>
          </cell>
          <cell r="I544">
            <v>6.0339412703103873E-4</v>
          </cell>
          <cell r="J544">
            <v>1.3331262607701271E-3</v>
          </cell>
          <cell r="K544">
            <v>7.3942662326552746E-4</v>
          </cell>
        </row>
        <row r="545">
          <cell r="B545" t="str">
            <v>SCOM-CHPGFC</v>
          </cell>
          <cell r="C545" t="str">
            <v>VAR_ncap</v>
          </cell>
          <cell r="D545" t="str">
            <v>-</v>
          </cell>
          <cell r="I545">
            <v>1.46292352606053E-5</v>
          </cell>
          <cell r="J545">
            <v>2.8426179485035401E-5</v>
          </cell>
          <cell r="K545">
            <v>6.3240391298860903E-8</v>
          </cell>
        </row>
        <row r="546">
          <cell r="B546" t="str">
            <v>SCOM-CHPGFC</v>
          </cell>
          <cell r="C546" t="str">
            <v>VAR_cap</v>
          </cell>
          <cell r="D546" t="str">
            <v>-</v>
          </cell>
          <cell r="I546">
            <v>2.14388355706916E-5</v>
          </cell>
          <cell r="J546">
            <v>4.7706278531657401E-5</v>
          </cell>
          <cell r="K546">
            <v>2.6874790817608457E-5</v>
          </cell>
        </row>
        <row r="547">
          <cell r="B547" t="str">
            <v>CHPOIL</v>
          </cell>
          <cell r="C547" t="str">
            <v>VAR_fout</v>
          </cell>
          <cell r="D547" t="str">
            <v>ELC35</v>
          </cell>
          <cell r="I547">
            <v>1.2291912048946946E-4</v>
          </cell>
          <cell r="J547">
            <v>8.1580437047459477E-5</v>
          </cell>
          <cell r="K547">
            <v>1.2507215195163712E-4</v>
          </cell>
        </row>
        <row r="548">
          <cell r="B548" t="str">
            <v>CHPOIL</v>
          </cell>
          <cell r="C548" t="str">
            <v>VAR_fout</v>
          </cell>
          <cell r="D548" t="str">
            <v>LTH</v>
          </cell>
          <cell r="I548">
            <v>6.3215547680298492E-4</v>
          </cell>
          <cell r="J548">
            <v>4.1955653338693479E-4</v>
          </cell>
          <cell r="K548">
            <v>6.4322821003699087E-4</v>
          </cell>
        </row>
        <row r="549">
          <cell r="B549" t="str">
            <v>CHPOIL</v>
          </cell>
          <cell r="C549" t="str">
            <v>VAR_fout</v>
          </cell>
          <cell r="D549" t="str">
            <v>CO2_E</v>
          </cell>
          <cell r="I549">
            <v>8.8557996212983894E-2</v>
          </cell>
          <cell r="J549">
            <v>5.6012917836597897E-2</v>
          </cell>
          <cell r="K549">
            <v>8.86442778120555E-2</v>
          </cell>
        </row>
        <row r="550">
          <cell r="B550" t="str">
            <v>CHPOIL</v>
          </cell>
          <cell r="C550" t="str">
            <v>VAR_fin</v>
          </cell>
          <cell r="D550" t="str">
            <v>ELFO</v>
          </cell>
          <cell r="I550">
            <v>1.2016010340974745E-3</v>
          </cell>
          <cell r="J550">
            <v>7.6001245368518134E-4</v>
          </cell>
          <cell r="K550">
            <v>1.2027717477890842E-3</v>
          </cell>
        </row>
        <row r="551">
          <cell r="B551" t="str">
            <v>CHPOIL</v>
          </cell>
          <cell r="C551" t="str">
            <v>VAR_ncap</v>
          </cell>
          <cell r="D551" t="str">
            <v>-</v>
          </cell>
          <cell r="I551">
            <v>4.7874312806920198E-7</v>
          </cell>
          <cell r="J551">
            <v>1.40385397531656E-6</v>
          </cell>
          <cell r="K551">
            <v>2.9216143965441401E-5</v>
          </cell>
        </row>
        <row r="552">
          <cell r="B552" t="str">
            <v>CHPOIL</v>
          </cell>
          <cell r="C552" t="str">
            <v>VAR_cap</v>
          </cell>
          <cell r="D552" t="str">
            <v>-</v>
          </cell>
          <cell r="I552">
            <v>9.5899701363105598E-5</v>
          </cell>
          <cell r="J552">
            <v>3.2497297351842677E-5</v>
          </cell>
          <cell r="K552">
            <v>3.0920983708346065E-5</v>
          </cell>
        </row>
        <row r="553">
          <cell r="B553" t="str">
            <v>ITOT-ESOLPV</v>
          </cell>
          <cell r="C553" t="str">
            <v>VAR_fout</v>
          </cell>
          <cell r="D553" t="str">
            <v>ITOT_SOL_ELC</v>
          </cell>
          <cell r="I553">
            <v>12.732508415673539</v>
          </cell>
          <cell r="J553">
            <v>13.381994452594038</v>
          </cell>
          <cell r="K553">
            <v>14.782047109859183</v>
          </cell>
        </row>
        <row r="554">
          <cell r="B554" t="str">
            <v>ITOT-ESOLPV</v>
          </cell>
          <cell r="C554" t="str">
            <v>VAR_fin</v>
          </cell>
          <cell r="D554" t="str">
            <v>SOL</v>
          </cell>
          <cell r="I554">
            <v>12.732508415673539</v>
          </cell>
          <cell r="J554">
            <v>13.381994452594038</v>
          </cell>
          <cell r="K554">
            <v>14.782047109859183</v>
          </cell>
        </row>
        <row r="555">
          <cell r="B555" t="str">
            <v>ITOT-ESOLPV</v>
          </cell>
          <cell r="C555" t="str">
            <v>VAR_fin</v>
          </cell>
          <cell r="D555" t="str">
            <v>SOLPVC</v>
          </cell>
          <cell r="I555">
            <v>12.7325084156735</v>
          </cell>
          <cell r="J555">
            <v>13.381994452594</v>
          </cell>
          <cell r="K555">
            <v>14.782047109859199</v>
          </cell>
        </row>
        <row r="556">
          <cell r="B556" t="str">
            <v>ITOT-ESOLPV</v>
          </cell>
          <cell r="C556" t="str">
            <v>VAR_ncap</v>
          </cell>
          <cell r="D556" t="str">
            <v>-</v>
          </cell>
          <cell r="I556">
            <v>0.69052429781414504</v>
          </cell>
          <cell r="J556">
            <v>0.89965810913775801</v>
          </cell>
          <cell r="K556">
            <v>2.8113238306838402</v>
          </cell>
        </row>
        <row r="557">
          <cell r="B557" t="str">
            <v>ITOT-ESOLPV</v>
          </cell>
          <cell r="C557" t="str">
            <v>VAR_cap</v>
          </cell>
          <cell r="D557" t="str">
            <v>-</v>
          </cell>
          <cell r="I557">
            <v>3.6704114627399402</v>
          </cell>
          <cell r="J557">
            <v>3.8576393486128668</v>
          </cell>
          <cell r="K557">
            <v>4.2612334513624903</v>
          </cell>
        </row>
        <row r="558">
          <cell r="B558" t="str">
            <v>RHNS-CHPNGA</v>
          </cell>
          <cell r="C558" t="str">
            <v>VAR_fout</v>
          </cell>
          <cell r="D558" t="str">
            <v>CO2_R</v>
          </cell>
          <cell r="I558">
            <v>0.121987193726373</v>
          </cell>
          <cell r="J558">
            <v>8.9361671731453596E-2</v>
          </cell>
          <cell r="K558">
            <v>4.3525945004322601E-2</v>
          </cell>
        </row>
        <row r="559">
          <cell r="B559" t="str">
            <v>RHNS-CHPNGA</v>
          </cell>
          <cell r="C559" t="str">
            <v>VAR_fout</v>
          </cell>
          <cell r="D559" t="str">
            <v>RHNS_LTH_CHPNGA</v>
          </cell>
          <cell r="I559">
            <v>1.0510060338725551E-3</v>
          </cell>
          <cell r="J559">
            <v>7.6719084650524335E-4</v>
          </cell>
          <cell r="K559">
            <v>3.4942859954918611E-4</v>
          </cell>
        </row>
        <row r="560">
          <cell r="B560" t="str">
            <v>RHNS-CHPNGA</v>
          </cell>
          <cell r="C560" t="str">
            <v>VAR_fout</v>
          </cell>
          <cell r="D560" t="str">
            <v>RHNS_NKEV_GAS_ELC_CHP</v>
          </cell>
          <cell r="I560">
            <v>4.6388430034861639E-4</v>
          </cell>
          <cell r="J560">
            <v>3.4163967383436632E-4</v>
          </cell>
          <cell r="K560">
            <v>1.6084808550676809E-4</v>
          </cell>
        </row>
        <row r="561">
          <cell r="B561" t="str">
            <v>RHNS-CHPNGA</v>
          </cell>
          <cell r="C561" t="str">
            <v>VAR_fin</v>
          </cell>
          <cell r="D561" t="str">
            <v>RNGA</v>
          </cell>
          <cell r="I561">
            <v>2.1628935057867466E-3</v>
          </cell>
          <cell r="J561">
            <v>1.584426803749178E-3</v>
          </cell>
          <cell r="K561">
            <v>7.717366135518187E-4</v>
          </cell>
        </row>
        <row r="562">
          <cell r="B562" t="str">
            <v>RHNS-CHPNGA</v>
          </cell>
          <cell r="C562" t="str">
            <v>VAR_ncap</v>
          </cell>
          <cell r="D562" t="str">
            <v>-</v>
          </cell>
          <cell r="I562">
            <v>2.8038043452937999E-6</v>
          </cell>
          <cell r="J562">
            <v>5.5800225988708303E-6</v>
          </cell>
          <cell r="K562">
            <v>6.4640415391512897E-6</v>
          </cell>
        </row>
        <row r="563">
          <cell r="B563" t="str">
            <v>RHNS-CHPNGA</v>
          </cell>
          <cell r="C563" t="str">
            <v>VAR_cap</v>
          </cell>
          <cell r="D563" t="str">
            <v>-</v>
          </cell>
          <cell r="I563">
            <v>4.1224003924380403E-5</v>
          </cell>
          <cell r="J563">
            <v>3.0351550165896979E-5</v>
          </cell>
          <cell r="K563">
            <v>1.42889832871068E-5</v>
          </cell>
        </row>
        <row r="564">
          <cell r="B564" t="str">
            <v>ENUC_BEZ</v>
          </cell>
          <cell r="C564" t="str">
            <v>VAR_fout</v>
          </cell>
          <cell r="D564" t="str">
            <v>ELC</v>
          </cell>
        </row>
        <row r="565">
          <cell r="B565" t="str">
            <v>ENUC_BEZ</v>
          </cell>
          <cell r="C565" t="str">
            <v>VAR_fin</v>
          </cell>
          <cell r="D565" t="str">
            <v>URN</v>
          </cell>
        </row>
        <row r="566">
          <cell r="B566" t="str">
            <v>ENUC_BEZ</v>
          </cell>
          <cell r="C566" t="str">
            <v>VAR_cap</v>
          </cell>
          <cell r="D566" t="str">
            <v>-</v>
          </cell>
        </row>
        <row r="567">
          <cell r="B567" t="str">
            <v>RHNM-CHPWOD</v>
          </cell>
          <cell r="C567" t="str">
            <v>VAR_fout</v>
          </cell>
          <cell r="D567" t="str">
            <v>RHNM_LTH_CHPWOD</v>
          </cell>
          <cell r="I567">
            <v>5.6185243406411229E-4</v>
          </cell>
          <cell r="J567">
            <v>2.7953154790872915E-4</v>
          </cell>
          <cell r="K567">
            <v>6.3131301357934738E-4</v>
          </cell>
        </row>
        <row r="568">
          <cell r="B568" t="str">
            <v>RHNM-CHPWOD</v>
          </cell>
          <cell r="C568" t="str">
            <v>VAR_fout</v>
          </cell>
          <cell r="D568" t="str">
            <v>RHNM_KEV_WOD_ELC_CHP</v>
          </cell>
          <cell r="I568">
            <v>2.1121489650928677E-4</v>
          </cell>
          <cell r="J568">
            <v>1.0508315597309627E-4</v>
          </cell>
          <cell r="K568">
            <v>2.373269291789026E-4</v>
          </cell>
        </row>
        <row r="569">
          <cell r="B569" t="str">
            <v>RHNM-CHPWOD</v>
          </cell>
          <cell r="C569" t="str">
            <v>VAR_fin</v>
          </cell>
          <cell r="D569" t="str">
            <v>RWOD</v>
          </cell>
          <cell r="I569">
            <v>8.8170759110805391E-4</v>
          </cell>
          <cell r="J569">
            <v>4.3090996607787145E-4</v>
          </cell>
          <cell r="K569">
            <v>9.4951099302981103E-4</v>
          </cell>
        </row>
        <row r="570">
          <cell r="B570" t="str">
            <v>RHNM-CHPWOD</v>
          </cell>
          <cell r="C570" t="str">
            <v>VAR_ncap</v>
          </cell>
          <cell r="D570" t="str">
            <v>-</v>
          </cell>
          <cell r="I570">
            <v>4.1428205411427499E-6</v>
          </cell>
          <cell r="J570">
            <v>8.0055576503259195E-8</v>
          </cell>
          <cell r="K570">
            <v>1.5805877067908201E-5</v>
          </cell>
        </row>
        <row r="571">
          <cell r="B571" t="str">
            <v>RHNM-CHPWOD</v>
          </cell>
          <cell r="C571" t="str">
            <v>VAR_cap</v>
          </cell>
          <cell r="D571" t="str">
            <v>-</v>
          </cell>
          <cell r="I571">
            <v>1.5755044287235701E-5</v>
          </cell>
          <cell r="J571">
            <v>1.2137847035196865E-5</v>
          </cell>
          <cell r="K571">
            <v>1.7608784600038105E-5</v>
          </cell>
        </row>
        <row r="572">
          <cell r="B572" t="str">
            <v>RHNM-SHSTG-CHPNGA</v>
          </cell>
          <cell r="C572" t="str">
            <v>VAR_fout</v>
          </cell>
          <cell r="D572" t="str">
            <v>AUX_RNM-CHPNGA_OUT</v>
          </cell>
          <cell r="I572">
            <v>0.91628627168498145</v>
          </cell>
          <cell r="J572">
            <v>3.6220734320036279</v>
          </cell>
          <cell r="K572">
            <v>6.145296334820996E-2</v>
          </cell>
        </row>
        <row r="573">
          <cell r="B573" t="str">
            <v>RHNM-SHSTG-CHPNGA</v>
          </cell>
          <cell r="C573" t="str">
            <v>VAR_fout</v>
          </cell>
          <cell r="D573" t="str">
            <v>RHNM_LTH_CHPNGA</v>
          </cell>
          <cell r="I573">
            <v>0.91712844656704196</v>
          </cell>
          <cell r="J573">
            <v>3.622073432003615</v>
          </cell>
          <cell r="K573">
            <v>6.1452963348209926E-2</v>
          </cell>
        </row>
        <row r="574">
          <cell r="B574" t="str">
            <v>RHNM-SHSTG-CHPNGA</v>
          </cell>
          <cell r="C574" t="str">
            <v>VAR_fin</v>
          </cell>
          <cell r="D574" t="str">
            <v>AUX_RNM-CHPNGA_IN</v>
          </cell>
          <cell r="I574">
            <v>1.1116690774567535</v>
          </cell>
          <cell r="J574">
            <v>4.2612628611807217</v>
          </cell>
          <cell r="K574">
            <v>6.8281070386898526E-2</v>
          </cell>
        </row>
        <row r="575">
          <cell r="B575" t="str">
            <v>RHNM-SHSTG-CHPNGA</v>
          </cell>
          <cell r="C575" t="str">
            <v>VAR_fin</v>
          </cell>
          <cell r="D575" t="str">
            <v>RHNM_LTH_CHPNGA</v>
          </cell>
          <cell r="I575">
            <v>1.1116690774567535</v>
          </cell>
          <cell r="J575">
            <v>4.2612628611807217</v>
          </cell>
          <cell r="K575">
            <v>6.8281070386898526E-2</v>
          </cell>
        </row>
        <row r="576">
          <cell r="B576" t="str">
            <v>RHNM-SHSTG-CHPNGA</v>
          </cell>
          <cell r="C576" t="str">
            <v>VAR_ncap</v>
          </cell>
          <cell r="D576" t="str">
            <v>-</v>
          </cell>
          <cell r="I576">
            <v>1.33462954992167E-2</v>
          </cell>
          <cell r="J576">
            <v>0.18585870323005699</v>
          </cell>
          <cell r="K576">
            <v>1.86207920085576E-6</v>
          </cell>
        </row>
        <row r="577">
          <cell r="B577" t="str">
            <v>RHNM-SHSTG-CHPNGA</v>
          </cell>
          <cell r="C577" t="str">
            <v>VAR_cap</v>
          </cell>
          <cell r="D577" t="str">
            <v>-</v>
          </cell>
          <cell r="I577">
            <v>5.814771857118832E-2</v>
          </cell>
          <cell r="J577">
            <v>0.22971150040036931</v>
          </cell>
          <cell r="K577">
            <v>3.2428889385736986E-2</v>
          </cell>
        </row>
        <row r="578">
          <cell r="B578" t="str">
            <v>CT_CWODBDS</v>
          </cell>
          <cell r="C578" t="str">
            <v>VAR_fout</v>
          </cell>
          <cell r="D578" t="str">
            <v>BDS</v>
          </cell>
          <cell r="I578">
            <v>1.5928320859153944E-5</v>
          </cell>
          <cell r="J578">
            <v>1.2584585716970432E-5</v>
          </cell>
          <cell r="K578">
            <v>1.4070953085286726</v>
          </cell>
        </row>
        <row r="579">
          <cell r="B579" t="str">
            <v>CT_CWODBDS</v>
          </cell>
          <cell r="C579" t="str">
            <v>VAR_fout</v>
          </cell>
          <cell r="D579" t="str">
            <v>LTH</v>
          </cell>
          <cell r="I579">
            <v>6.2120451350700284E-6</v>
          </cell>
          <cell r="J579">
            <v>4.9079884296184633E-6</v>
          </cell>
          <cell r="K579">
            <v>0.54876717032618105</v>
          </cell>
        </row>
        <row r="580">
          <cell r="B580" t="str">
            <v>CT_CWODBDS</v>
          </cell>
          <cell r="C580" t="str">
            <v>VAR_fin</v>
          </cell>
          <cell r="D580" t="str">
            <v>CWOD</v>
          </cell>
          <cell r="I580">
            <v>4.5387750288159148E-5</v>
          </cell>
          <cell r="J580">
            <v>3.5859777000507185E-5</v>
          </cell>
          <cell r="K580">
            <v>4.0095180816524492</v>
          </cell>
        </row>
        <row r="581">
          <cell r="B581" t="str">
            <v>CT_CWODBDS</v>
          </cell>
          <cell r="C581" t="str">
            <v>VAR_fin</v>
          </cell>
          <cell r="D581" t="str">
            <v>CELC</v>
          </cell>
          <cell r="I581">
            <v>1.1070182997111978E-6</v>
          </cell>
          <cell r="J581">
            <v>8.7462870732944479E-7</v>
          </cell>
          <cell r="K581">
            <v>9.7793123942742685E-2</v>
          </cell>
        </row>
        <row r="582">
          <cell r="B582" t="str">
            <v>CT_CWODBDS</v>
          </cell>
          <cell r="C582" t="str">
            <v>VAR_ncap</v>
          </cell>
          <cell r="D582" t="str">
            <v>-</v>
          </cell>
          <cell r="I582">
            <v>2.6920405085682002E-7</v>
          </cell>
          <cell r="J582">
            <v>2.6268699511334501E-7</v>
          </cell>
          <cell r="K582">
            <v>7.2964258788245695E-2</v>
          </cell>
        </row>
        <row r="583">
          <cell r="B583" t="str">
            <v>CT_CWODBDS</v>
          </cell>
          <cell r="C583" t="str">
            <v>VAR_cap</v>
          </cell>
          <cell r="D583" t="str">
            <v>-</v>
          </cell>
          <cell r="I583">
            <v>4.5105088347773686E-6</v>
          </cell>
          <cell r="J583">
            <v>3.9261381140468464E-6</v>
          </cell>
          <cell r="K583">
            <v>7.2964713355623129E-2</v>
          </cell>
        </row>
        <row r="584">
          <cell r="B584" t="str">
            <v>RHNS-EBAT</v>
          </cell>
          <cell r="C584" t="str">
            <v>VAR_fout</v>
          </cell>
          <cell r="D584" t="str">
            <v>RHNS_ELC</v>
          </cell>
          <cell r="I584">
            <v>3.7146023918180913E-2</v>
          </cell>
          <cell r="J584">
            <v>2.475593872083078E-3</v>
          </cell>
          <cell r="K584">
            <v>5.6280049756611064E-2</v>
          </cell>
        </row>
        <row r="585">
          <cell r="B585" t="str">
            <v>RHNS-EBAT</v>
          </cell>
          <cell r="C585" t="str">
            <v>VAR_fout</v>
          </cell>
          <cell r="D585" t="str">
            <v>AUX_RHNS-EBAT_OUT</v>
          </cell>
          <cell r="I585">
            <v>3.7146023918180955E-2</v>
          </cell>
          <cell r="J585">
            <v>2.475593872083081E-3</v>
          </cell>
          <cell r="K585">
            <v>5.628004975661112E-2</v>
          </cell>
        </row>
        <row r="586">
          <cell r="B586" t="str">
            <v>RHNS-EBAT</v>
          </cell>
          <cell r="C586" t="str">
            <v>VAR_fin</v>
          </cell>
          <cell r="D586" t="str">
            <v>RHNS_ELC</v>
          </cell>
          <cell r="I586">
            <v>4.1078633038986762E-2</v>
          </cell>
          <cell r="J586">
            <v>2.7378269473349376E-3</v>
          </cell>
          <cell r="K586">
            <v>6.2238353045018485E-2</v>
          </cell>
        </row>
        <row r="587">
          <cell r="B587" t="str">
            <v>RHNS-EBAT</v>
          </cell>
          <cell r="C587" t="str">
            <v>VAR_fin</v>
          </cell>
          <cell r="D587" t="str">
            <v>AUX_RHNS-EBAT_IN</v>
          </cell>
          <cell r="I587">
            <v>4.1078633038986762E-2</v>
          </cell>
          <cell r="J587">
            <v>2.7378269473349376E-3</v>
          </cell>
          <cell r="K587">
            <v>6.2238353045018485E-2</v>
          </cell>
        </row>
        <row r="588">
          <cell r="B588" t="str">
            <v>RHNS-EBAT</v>
          </cell>
          <cell r="C588" t="str">
            <v>VAR_ncap</v>
          </cell>
          <cell r="D588" t="str">
            <v>-</v>
          </cell>
          <cell r="I588">
            <v>3.7392432544010201E-2</v>
          </cell>
          <cell r="J588">
            <v>3.9656600222798898E-2</v>
          </cell>
          <cell r="K588">
            <v>6.9103347445963206E-2</v>
          </cell>
        </row>
        <row r="589">
          <cell r="B589" t="str">
            <v>RHNS-EBAT</v>
          </cell>
          <cell r="C589" t="str">
            <v>VAR_cap</v>
          </cell>
          <cell r="D589" t="str">
            <v>-</v>
          </cell>
          <cell r="I589">
            <v>7.0430008963299262E-2</v>
          </cell>
          <cell r="J589">
            <v>7.7095921258451591E-2</v>
          </cell>
          <cell r="K589">
            <v>9.5553249599082207E-2</v>
          </cell>
        </row>
        <row r="590">
          <cell r="B590" t="str">
            <v>G-INTC-EXP00-AT</v>
          </cell>
          <cell r="C590" t="str">
            <v>VAR_fout</v>
          </cell>
          <cell r="D590" t="str">
            <v>ELC_E-AT</v>
          </cell>
          <cell r="I590">
            <v>2.9704435218332468E-5</v>
          </cell>
          <cell r="J590">
            <v>2.8725712579620754E-5</v>
          </cell>
          <cell r="K590">
            <v>2.5387160808957888E-5</v>
          </cell>
        </row>
        <row r="591">
          <cell r="B591" t="str">
            <v>G-INTC-EXP00-AT</v>
          </cell>
          <cell r="C591" t="str">
            <v>VAR_fin</v>
          </cell>
          <cell r="D591" t="str">
            <v>ELC</v>
          </cell>
          <cell r="I591">
            <v>2.9704435218332468E-5</v>
          </cell>
          <cell r="J591">
            <v>2.8725712579620754E-5</v>
          </cell>
          <cell r="K591">
            <v>2.5387160808957888E-5</v>
          </cell>
        </row>
        <row r="592">
          <cell r="B592" t="str">
            <v>G-INTC-EXP00-AT</v>
          </cell>
          <cell r="C592" t="str">
            <v>VAR_ncap</v>
          </cell>
          <cell r="D592" t="str">
            <v>-</v>
          </cell>
          <cell r="I592">
            <v>5.61146223909972E-8</v>
          </cell>
          <cell r="J592">
            <v>1.02741742124871E-7</v>
          </cell>
          <cell r="K592">
            <v>2.7241366621246403E-7</v>
          </cell>
        </row>
        <row r="593">
          <cell r="B593" t="str">
            <v>G-INTC-EXP00-AT</v>
          </cell>
          <cell r="C593" t="str">
            <v>VAR_cap</v>
          </cell>
          <cell r="D593" t="str">
            <v>-</v>
          </cell>
          <cell r="I593">
            <v>6.630482377256719E-5</v>
          </cell>
          <cell r="J593">
            <v>6.5944689917385446E-5</v>
          </cell>
          <cell r="K593">
            <v>6.6739169286123001E-5</v>
          </cell>
        </row>
        <row r="594">
          <cell r="B594" t="str">
            <v>ENUC_LRG_GOE</v>
          </cell>
          <cell r="C594" t="str">
            <v>VAR_fout</v>
          </cell>
          <cell r="D594" t="str">
            <v>LTH</v>
          </cell>
          <cell r="K594">
            <v>3.5426620617664546</v>
          </cell>
        </row>
        <row r="595">
          <cell r="B595" t="str">
            <v>ENUC_LRG_GOE</v>
          </cell>
          <cell r="C595" t="str">
            <v>VAR_fout</v>
          </cell>
          <cell r="D595" t="str">
            <v>ELC</v>
          </cell>
          <cell r="K595">
            <v>25.319097289925203</v>
          </cell>
        </row>
        <row r="596">
          <cell r="B596" t="str">
            <v>ENUC_LRG_GOE</v>
          </cell>
          <cell r="C596" t="str">
            <v>VAR_fin</v>
          </cell>
          <cell r="D596" t="str">
            <v>URN</v>
          </cell>
          <cell r="K596">
            <v>83.410669693318013</v>
          </cell>
        </row>
        <row r="597">
          <cell r="B597" t="str">
            <v>ENUC_LRG_GOE</v>
          </cell>
          <cell r="C597" t="str">
            <v>VAR_ncap</v>
          </cell>
          <cell r="D597" t="str">
            <v>-</v>
          </cell>
          <cell r="J597">
            <v>0.69192775231116499</v>
          </cell>
          <cell r="K597">
            <v>2.80435520639685</v>
          </cell>
        </row>
        <row r="598">
          <cell r="B598" t="str">
            <v>ENUC_LRG_GOE</v>
          </cell>
          <cell r="C598" t="str">
            <v>VAR_cap</v>
          </cell>
          <cell r="D598" t="str">
            <v>-</v>
          </cell>
          <cell r="K598">
            <v>1.0246037061139901</v>
          </cell>
        </row>
        <row r="599">
          <cell r="B599" t="str">
            <v>G-INTC-IMP00-DE</v>
          </cell>
          <cell r="C599" t="str">
            <v>VAR_fout</v>
          </cell>
          <cell r="D599" t="str">
            <v>ELC</v>
          </cell>
          <cell r="I599">
            <v>38.680421785864873</v>
          </cell>
          <cell r="J599">
            <v>30.481355211719251</v>
          </cell>
          <cell r="K599">
            <v>6.2621735800032923</v>
          </cell>
        </row>
        <row r="600">
          <cell r="B600" t="str">
            <v>G-INTC-IMP00-DE</v>
          </cell>
          <cell r="C600" t="str">
            <v>VAR_fin</v>
          </cell>
          <cell r="D600" t="str">
            <v>ELC_I-DE</v>
          </cell>
          <cell r="I600">
            <v>38.680421785864873</v>
          </cell>
          <cell r="J600">
            <v>30.481355211719251</v>
          </cell>
          <cell r="K600">
            <v>6.2621735800032923</v>
          </cell>
        </row>
        <row r="601">
          <cell r="B601" t="str">
            <v>G-INTC-IMP00-DE</v>
          </cell>
          <cell r="C601" t="str">
            <v>VAR_ncap</v>
          </cell>
          <cell r="D601" t="str">
            <v>-</v>
          </cell>
          <cell r="I601">
            <v>1.09898234345534E-7</v>
          </cell>
          <cell r="J601">
            <v>1.7050033249587999E-7</v>
          </cell>
          <cell r="K601">
            <v>2.94315949012064E-7</v>
          </cell>
        </row>
        <row r="602">
          <cell r="B602" t="str">
            <v>G-INTC-IMP00-DE</v>
          </cell>
          <cell r="C602" t="str">
            <v>VAR_cap</v>
          </cell>
          <cell r="D602" t="str">
            <v>-</v>
          </cell>
          <cell r="I602">
            <v>2.310314099236713</v>
          </cell>
          <cell r="J602">
            <v>2.310313747021008</v>
          </cell>
          <cell r="K602">
            <v>0.97860915736721532</v>
          </cell>
        </row>
        <row r="603">
          <cell r="B603" t="str">
            <v>RHEM-SHSTG-CHPWOD</v>
          </cell>
          <cell r="C603" t="str">
            <v>VAR_fout</v>
          </cell>
          <cell r="D603" t="str">
            <v>AUX_REM-CHPWOD_OUT</v>
          </cell>
          <cell r="I603">
            <v>7.0843514092099947E-4</v>
          </cell>
          <cell r="J603">
            <v>6.9077595682884491E-4</v>
          </cell>
          <cell r="K603">
            <v>7.8854114331938872E-4</v>
          </cell>
        </row>
        <row r="604">
          <cell r="B604" t="str">
            <v>RHEM-SHSTG-CHPWOD</v>
          </cell>
          <cell r="C604" t="str">
            <v>VAR_fout</v>
          </cell>
          <cell r="D604" t="str">
            <v>RHEM_LTH_CHPWOD</v>
          </cell>
          <cell r="I604">
            <v>7.0908627616081562E-4</v>
          </cell>
          <cell r="J604">
            <v>6.9077595682884318E-4</v>
          </cell>
          <cell r="K604">
            <v>7.8854114331938807E-4</v>
          </cell>
        </row>
        <row r="605">
          <cell r="B605" t="str">
            <v>RHEM-SHSTG-CHPWOD</v>
          </cell>
          <cell r="C605" t="str">
            <v>VAR_fin</v>
          </cell>
          <cell r="D605" t="str">
            <v>AUX_REM-CHPWOD_IN</v>
          </cell>
          <cell r="I605">
            <v>8.5773164963156537E-4</v>
          </cell>
          <cell r="J605">
            <v>8.1267759626949118E-4</v>
          </cell>
          <cell r="K605">
            <v>8.7615682591049115E-4</v>
          </cell>
        </row>
        <row r="606">
          <cell r="B606" t="str">
            <v>RHEM-SHSTG-CHPWOD</v>
          </cell>
          <cell r="C606" t="str">
            <v>VAR_fin</v>
          </cell>
          <cell r="D606" t="str">
            <v>RHEM_LTH_CHPWOD</v>
          </cell>
          <cell r="I606">
            <v>8.5773164963156537E-4</v>
          </cell>
          <cell r="J606">
            <v>8.1267759626949118E-4</v>
          </cell>
          <cell r="K606">
            <v>8.7615682591049115E-4</v>
          </cell>
        </row>
        <row r="607">
          <cell r="B607" t="str">
            <v>RHEM-SHSTG-CHPWOD</v>
          </cell>
          <cell r="C607" t="str">
            <v>VAR_ncap</v>
          </cell>
          <cell r="D607" t="str">
            <v>-</v>
          </cell>
          <cell r="I607">
            <v>3.9690319802226503E-4</v>
          </cell>
          <cell r="J607">
            <v>3.3946029622090103E-5</v>
          </cell>
          <cell r="K607">
            <v>6.9618074364938398E-5</v>
          </cell>
        </row>
        <row r="608">
          <cell r="B608" t="str">
            <v>RHEM-SHSTG-CHPWOD</v>
          </cell>
          <cell r="C608" t="str">
            <v>VAR_cap</v>
          </cell>
          <cell r="D608" t="str">
            <v>-</v>
          </cell>
          <cell r="I608">
            <v>4.9943757135029816E-4</v>
          </cell>
          <cell r="J608">
            <v>4.3451213051919107E-4</v>
          </cell>
          <cell r="K608">
            <v>2.5965507323624792E-4</v>
          </cell>
        </row>
        <row r="609">
          <cell r="B609" t="str">
            <v>RHNM-CHPGFC</v>
          </cell>
          <cell r="C609" t="str">
            <v>VAR_fout</v>
          </cell>
          <cell r="D609" t="str">
            <v>CO2_R</v>
          </cell>
          <cell r="I609">
            <v>4.4705823511753999E-2</v>
          </cell>
          <cell r="J609">
            <v>6.54384177841804E-2</v>
          </cell>
          <cell r="K609">
            <v>4.8665300115617802E-2</v>
          </cell>
        </row>
        <row r="610">
          <cell r="B610" t="str">
            <v>RHNM-CHPGFC</v>
          </cell>
          <cell r="C610" t="str">
            <v>VAR_fout</v>
          </cell>
          <cell r="D610" t="str">
            <v>RHNM_NKEV_GAS_ELC_CHP</v>
          </cell>
          <cell r="I610">
            <v>3.4084227145486201E-4</v>
          </cell>
          <cell r="J610">
            <v>5.1051247916736547E-4</v>
          </cell>
          <cell r="K610">
            <v>3.8828696900758907E-4</v>
          </cell>
        </row>
        <row r="611">
          <cell r="B611" t="str">
            <v>RHNM-CHPGFC</v>
          </cell>
          <cell r="C611" t="str">
            <v>VAR_fout</v>
          </cell>
          <cell r="D611" t="str">
            <v>RHNM_LTH_CHPNGA</v>
          </cell>
          <cell r="I611">
            <v>3.7151807588579932E-4</v>
          </cell>
          <cell r="J611">
            <v>5.4114322791740685E-4</v>
          </cell>
          <cell r="K611">
            <v>3.8828696900758907E-4</v>
          </cell>
        </row>
        <row r="612">
          <cell r="B612" t="str">
            <v>RHNM-CHPGFC</v>
          </cell>
          <cell r="C612" t="str">
            <v>VAR_fin</v>
          </cell>
          <cell r="D612" t="str">
            <v>RNGA</v>
          </cell>
          <cell r="I612">
            <v>7.9265644524386498E-4</v>
          </cell>
          <cell r="J612">
            <v>1.1602556344712845E-3</v>
          </cell>
          <cell r="K612">
            <v>8.6285993112797518E-4</v>
          </cell>
        </row>
        <row r="613">
          <cell r="B613" t="str">
            <v>RHNM-CHPGFC</v>
          </cell>
          <cell r="C613" t="str">
            <v>VAR_ncap</v>
          </cell>
          <cell r="D613" t="str">
            <v>-</v>
          </cell>
          <cell r="I613">
            <v>2.1395047287063199E-5</v>
          </cell>
          <cell r="J613">
            <v>1.5074350556336701E-5</v>
          </cell>
          <cell r="K613">
            <v>7.5090991570293904E-8</v>
          </cell>
        </row>
        <row r="614">
          <cell r="B614" t="str">
            <v>RHNM-CHPGFC</v>
          </cell>
          <cell r="C614" t="str">
            <v>VAR_cap</v>
          </cell>
          <cell r="D614" t="str">
            <v>-</v>
          </cell>
          <cell r="I614">
            <v>3.0281711699902001E-5</v>
          </cell>
          <cell r="J614">
            <v>4.5356062256238702E-5</v>
          </cell>
          <cell r="K614">
            <v>3.44839818586614E-5</v>
          </cell>
        </row>
        <row r="615">
          <cell r="B615" t="str">
            <v>G-INTC-EXP00-FR</v>
          </cell>
          <cell r="C615" t="str">
            <v>VAR_fout</v>
          </cell>
          <cell r="D615" t="str">
            <v>ELC_E-FR</v>
          </cell>
          <cell r="I615">
            <v>8.0437516107818919E-5</v>
          </cell>
          <cell r="J615">
            <v>9.9589477018543411E-5</v>
          </cell>
          <cell r="K615">
            <v>7.962150637452402E-5</v>
          </cell>
        </row>
        <row r="616">
          <cell r="B616" t="str">
            <v>G-INTC-EXP00-FR</v>
          </cell>
          <cell r="C616" t="str">
            <v>VAR_fin</v>
          </cell>
          <cell r="D616" t="str">
            <v>ELC</v>
          </cell>
          <cell r="I616">
            <v>8.0437516107818919E-5</v>
          </cell>
          <cell r="J616">
            <v>9.9589477018543411E-5</v>
          </cell>
          <cell r="K616">
            <v>7.962150637452402E-5</v>
          </cell>
        </row>
        <row r="617">
          <cell r="B617" t="str">
            <v>G-INTC-EXP00-FR</v>
          </cell>
          <cell r="C617" t="str">
            <v>VAR_ncap</v>
          </cell>
          <cell r="D617" t="str">
            <v>-</v>
          </cell>
          <cell r="I617">
            <v>1.1532324739674701E-7</v>
          </cell>
          <cell r="J617">
            <v>1.8581327088105E-7</v>
          </cell>
          <cell r="K617">
            <v>3.3196051190213399E-7</v>
          </cell>
        </row>
        <row r="618">
          <cell r="B618" t="str">
            <v>G-INTC-EXP00-FR</v>
          </cell>
          <cell r="C618" t="str">
            <v>VAR_cap</v>
          </cell>
          <cell r="D618" t="str">
            <v>-</v>
          </cell>
          <cell r="I618">
            <v>6.6643715326719644E-5</v>
          </cell>
          <cell r="J618">
            <v>6.6581297701207021E-5</v>
          </cell>
          <cell r="K618">
            <v>6.6760312659397414E-5</v>
          </cell>
        </row>
        <row r="619">
          <cell r="B619" t="str">
            <v>RHNM-EBAT</v>
          </cell>
          <cell r="C619" t="str">
            <v>VAR_fout</v>
          </cell>
          <cell r="D619" t="str">
            <v>RHNM_ELC</v>
          </cell>
          <cell r="I619">
            <v>1.4112259326547024E-2</v>
          </cell>
          <cell r="J619">
            <v>2.2089119769167611E-3</v>
          </cell>
          <cell r="K619">
            <v>2.1301853226627147E-2</v>
          </cell>
        </row>
        <row r="620">
          <cell r="B620" t="str">
            <v>RHNM-EBAT</v>
          </cell>
          <cell r="C620" t="str">
            <v>VAR_fout</v>
          </cell>
          <cell r="D620" t="str">
            <v>AUX_RHNM-EBAT_OUT</v>
          </cell>
          <cell r="I620">
            <v>1.4112259326547029E-2</v>
          </cell>
          <cell r="J620">
            <v>2.2089119769167637E-3</v>
          </cell>
          <cell r="K620">
            <v>2.1301853226627164E-2</v>
          </cell>
        </row>
        <row r="621">
          <cell r="B621" t="str">
            <v>RHNM-EBAT</v>
          </cell>
          <cell r="C621" t="str">
            <v>VAR_fin</v>
          </cell>
          <cell r="D621" t="str">
            <v>RHNM_ELC</v>
          </cell>
          <cell r="I621">
            <v>1.560640202599952E-2</v>
          </cell>
          <cell r="J621">
            <v>2.442913189882307E-3</v>
          </cell>
          <cell r="K621">
            <v>2.3557196862321959E-2</v>
          </cell>
        </row>
        <row r="622">
          <cell r="B622" t="str">
            <v>RHNM-EBAT</v>
          </cell>
          <cell r="C622" t="str">
            <v>VAR_fin</v>
          </cell>
          <cell r="D622" t="str">
            <v>AUX_RHNM-EBAT_IN</v>
          </cell>
          <cell r="I622">
            <v>1.560640202599952E-2</v>
          </cell>
          <cell r="J622">
            <v>2.442913189882307E-3</v>
          </cell>
          <cell r="K622">
            <v>2.3557196862321959E-2</v>
          </cell>
        </row>
        <row r="623">
          <cell r="B623" t="str">
            <v>RHNM-EBAT</v>
          </cell>
          <cell r="C623" t="str">
            <v>VAR_ncap</v>
          </cell>
          <cell r="D623" t="str">
            <v>-</v>
          </cell>
          <cell r="I623">
            <v>1.1000210795689601E-2</v>
          </cell>
          <cell r="J623">
            <v>1.1905869179630499E-2</v>
          </cell>
          <cell r="K623">
            <v>2.0029948056333999E-2</v>
          </cell>
        </row>
        <row r="624">
          <cell r="B624" t="str">
            <v>RHNM-EBAT</v>
          </cell>
          <cell r="C624" t="str">
            <v>VAR_cap</v>
          </cell>
          <cell r="D624" t="str">
            <v>-</v>
          </cell>
          <cell r="I624">
            <v>2.1209230749818783E-2</v>
          </cell>
          <cell r="J624">
            <v>2.2986268656764928E-2</v>
          </cell>
          <cell r="K624">
            <v>2.7931176794359261E-2</v>
          </cell>
        </row>
        <row r="625">
          <cell r="B625" t="str">
            <v>ITOT-CHPWST</v>
          </cell>
          <cell r="C625" t="str">
            <v>VAR_fout</v>
          </cell>
          <cell r="D625" t="str">
            <v>ITOT_LTH_CHP</v>
          </cell>
          <cell r="I625">
            <v>1.5608386056116862E-3</v>
          </cell>
          <cell r="J625">
            <v>5.2913224227643836E-4</v>
          </cell>
          <cell r="K625">
            <v>3.3453736298219697E-4</v>
          </cell>
        </row>
        <row r="626">
          <cell r="B626" t="str">
            <v>ITOT-CHPWST</v>
          </cell>
          <cell r="C626" t="str">
            <v>VAR_fout</v>
          </cell>
          <cell r="D626" t="str">
            <v>ITOT_KEV_WST_ELC_CHP</v>
          </cell>
          <cell r="I626">
            <v>2.6448459928173215E-4</v>
          </cell>
          <cell r="J626">
            <v>1.0446755677402852E-4</v>
          </cell>
          <cell r="K626">
            <v>9.8618212051144259E-5</v>
          </cell>
        </row>
        <row r="627">
          <cell r="B627" t="str">
            <v>ITOT-CHPWST</v>
          </cell>
          <cell r="C627" t="str">
            <v>VAR_fout</v>
          </cell>
          <cell r="D627" t="str">
            <v>CO2_I</v>
          </cell>
          <cell r="I627">
            <v>0.396048427631295</v>
          </cell>
          <cell r="J627">
            <v>0.156433348902727</v>
          </cell>
          <cell r="K627">
            <v>0.14767433689800899</v>
          </cell>
        </row>
        <row r="628">
          <cell r="B628" t="str">
            <v>ITOT-CHPWST</v>
          </cell>
          <cell r="C628" t="str">
            <v>VAR_fin</v>
          </cell>
          <cell r="D628" t="str">
            <v>IWST</v>
          </cell>
          <cell r="I628">
            <v>4.2677632287855061E-3</v>
          </cell>
          <cell r="J628">
            <v>1.6857041907621393E-3</v>
          </cell>
          <cell r="K628">
            <v>1.5913182855388846E-3</v>
          </cell>
        </row>
        <row r="629">
          <cell r="B629" t="str">
            <v>ITOT-CHPWST</v>
          </cell>
          <cell r="C629" t="str">
            <v>VAR_ncap</v>
          </cell>
          <cell r="D629" t="str">
            <v>-</v>
          </cell>
          <cell r="I629">
            <v>3.4093520491133003E-8</v>
          </cell>
          <cell r="J629">
            <v>1.25015758604118E-8</v>
          </cell>
          <cell r="K629">
            <v>1.6840125587199E-8</v>
          </cell>
        </row>
        <row r="630">
          <cell r="B630" t="str">
            <v>ITOT-CHPWST</v>
          </cell>
          <cell r="C630" t="str">
            <v>VAR_cap</v>
          </cell>
          <cell r="D630" t="str">
            <v>-</v>
          </cell>
          <cell r="I630">
            <v>4.3063482134064746E-5</v>
          </cell>
          <cell r="J630">
            <v>4.3054294219064745E-5</v>
          </cell>
          <cell r="K630">
            <v>2.0477619323742112E-5</v>
          </cell>
        </row>
        <row r="631">
          <cell r="B631" t="str">
            <v>CAES-EBAT</v>
          </cell>
          <cell r="C631" t="str">
            <v>VAR_fout</v>
          </cell>
          <cell r="D631" t="str">
            <v>ELC13</v>
          </cell>
          <cell r="I631">
            <v>3.2660928398461052E-4</v>
          </cell>
          <cell r="J631">
            <v>1.4230223170760565E-4</v>
          </cell>
          <cell r="K631">
            <v>3.3801584032317638E-4</v>
          </cell>
        </row>
        <row r="632">
          <cell r="B632" t="str">
            <v>CAES-EBAT</v>
          </cell>
          <cell r="C632" t="str">
            <v>VAR_fout</v>
          </cell>
          <cell r="D632" t="str">
            <v>AUX_CAES_OUT</v>
          </cell>
          <cell r="I632">
            <v>3.2660928398461008E-4</v>
          </cell>
          <cell r="J632">
            <v>1.4230223170760557E-4</v>
          </cell>
          <cell r="K632">
            <v>3.3801584032317627E-4</v>
          </cell>
        </row>
        <row r="633">
          <cell r="B633" t="str">
            <v>CAES-EBAT</v>
          </cell>
          <cell r="C633" t="str">
            <v>VAR_fin</v>
          </cell>
          <cell r="D633" t="str">
            <v>ELC13</v>
          </cell>
          <cell r="I633">
            <v>4.6706604905236344E-4</v>
          </cell>
          <cell r="J633">
            <v>2.0360969127186776E-4</v>
          </cell>
          <cell r="K633">
            <v>4.833723737155549E-4</v>
          </cell>
        </row>
        <row r="634">
          <cell r="B634" t="str">
            <v>CAES-EBAT</v>
          </cell>
          <cell r="C634" t="str">
            <v>VAR_fin</v>
          </cell>
          <cell r="D634" t="str">
            <v>AUX_CAES_IN</v>
          </cell>
          <cell r="I634">
            <v>4.6706604905236344E-4</v>
          </cell>
          <cell r="J634">
            <v>2.0360969127186776E-4</v>
          </cell>
          <cell r="K634">
            <v>4.833723737155549E-4</v>
          </cell>
        </row>
        <row r="635">
          <cell r="B635" t="str">
            <v>CAES-EBAT</v>
          </cell>
          <cell r="C635" t="str">
            <v>VAR_ncap</v>
          </cell>
          <cell r="D635" t="str">
            <v>-</v>
          </cell>
          <cell r="I635">
            <v>2.8273124581524201E-8</v>
          </cell>
          <cell r="J635">
            <v>3.6019082083324801E-8</v>
          </cell>
          <cell r="K635">
            <v>3.3096998667589998E-8</v>
          </cell>
        </row>
        <row r="636">
          <cell r="B636" t="str">
            <v>CAES-EBAT</v>
          </cell>
          <cell r="C636" t="str">
            <v>VAR_cap</v>
          </cell>
          <cell r="D636" t="str">
            <v>-</v>
          </cell>
          <cell r="I636">
            <v>3.5876248197226623E-4</v>
          </cell>
          <cell r="J636">
            <v>3.5871768002015969E-4</v>
          </cell>
          <cell r="K636">
            <v>3.5875336454650741E-4</v>
          </cell>
        </row>
        <row r="637">
          <cell r="B637" t="str">
            <v>HPLSOL</v>
          </cell>
          <cell r="C637" t="str">
            <v>VAR_fout</v>
          </cell>
          <cell r="D637" t="str">
            <v>LTH</v>
          </cell>
          <cell r="I637">
            <v>5.923234484476753E-6</v>
          </cell>
          <cell r="J637">
            <v>5.924093783799936E-6</v>
          </cell>
          <cell r="K637">
            <v>5.9924029522475574E-6</v>
          </cell>
        </row>
        <row r="638">
          <cell r="B638" t="str">
            <v>HPLSOL</v>
          </cell>
          <cell r="C638" t="str">
            <v>VAR_fin</v>
          </cell>
          <cell r="D638" t="str">
            <v>SOL</v>
          </cell>
          <cell r="I638">
            <v>5.923234484476753E-6</v>
          </cell>
          <cell r="J638">
            <v>5.924093783799936E-6</v>
          </cell>
          <cell r="K638">
            <v>5.9924029522475574E-6</v>
          </cell>
        </row>
        <row r="639">
          <cell r="B639" t="str">
            <v>HPLSOL</v>
          </cell>
          <cell r="C639" t="str">
            <v>VAR_fin</v>
          </cell>
          <cell r="D639" t="str">
            <v>SOLPVC</v>
          </cell>
          <cell r="I639">
            <v>5.9232344844767504E-6</v>
          </cell>
          <cell r="J639">
            <v>5.9240937837999402E-6</v>
          </cell>
          <cell r="K639">
            <v>5.9924029522475599E-6</v>
          </cell>
        </row>
        <row r="640">
          <cell r="B640" t="str">
            <v>HPLSOL</v>
          </cell>
          <cell r="C640" t="str">
            <v>VAR_ncap</v>
          </cell>
          <cell r="D640" t="str">
            <v>-</v>
          </cell>
          <cell r="I640">
            <v>2.3037353174430099E-7</v>
          </cell>
          <cell r="J640">
            <v>4.4621055482448401E-8</v>
          </cell>
          <cell r="K640">
            <v>6.9058550550984199E-7</v>
          </cell>
        </row>
        <row r="641">
          <cell r="B641" t="str">
            <v>HPLSOL</v>
          </cell>
          <cell r="C641" t="str">
            <v>VAR_cap</v>
          </cell>
          <cell r="D641" t="str">
            <v>-</v>
          </cell>
          <cell r="I641">
            <v>1.56637215606979E-6</v>
          </cell>
          <cell r="J641">
            <v>1.61099321155224E-6</v>
          </cell>
          <cell r="K641">
            <v>1.2661898274139701E-6</v>
          </cell>
        </row>
        <row r="642">
          <cell r="B642" t="str">
            <v>RHEM-CHPNGA</v>
          </cell>
          <cell r="C642" t="str">
            <v>VAR_fout</v>
          </cell>
          <cell r="D642" t="str">
            <v>CO2_R</v>
          </cell>
          <cell r="I642">
            <v>112.80820280711001</v>
          </cell>
          <cell r="J642">
            <v>164.507778877829</v>
          </cell>
          <cell r="K642">
            <v>86.457973985113497</v>
          </cell>
        </row>
        <row r="643">
          <cell r="B643" t="str">
            <v>RHEM-CHPNGA</v>
          </cell>
          <cell r="C643" t="str">
            <v>VAR_fout</v>
          </cell>
          <cell r="D643" t="str">
            <v>RHEM_LTH_CHPNGA</v>
          </cell>
          <cell r="I643">
            <v>1.2335594381806516</v>
          </cell>
          <cell r="J643">
            <v>1.7922447222900095</v>
          </cell>
          <cell r="K643">
            <v>0.93482886533920062</v>
          </cell>
        </row>
        <row r="644">
          <cell r="B644" t="str">
            <v>RHEM-CHPNGA</v>
          </cell>
          <cell r="C644" t="str">
            <v>VAR_fout</v>
          </cell>
          <cell r="D644" t="str">
            <v>RHEM_NKEV_GAS_ELC_CHP</v>
          </cell>
          <cell r="I644">
            <v>0.60423280831653903</v>
          </cell>
          <cell r="J644">
            <v>0.88883681349342092</v>
          </cell>
          <cell r="K644">
            <v>0.47507696435270846</v>
          </cell>
        </row>
        <row r="645">
          <cell r="B645" t="str">
            <v>RHEM-CHPNGA</v>
          </cell>
          <cell r="C645" t="str">
            <v>VAR_fin</v>
          </cell>
          <cell r="D645" t="str">
            <v>RNGA</v>
          </cell>
          <cell r="I645">
            <v>2.0001454398423864</v>
          </cell>
          <cell r="J645">
            <v>2.9168045900324162</v>
          </cell>
          <cell r="K645">
            <v>1.5329428011544954</v>
          </cell>
        </row>
        <row r="646">
          <cell r="B646" t="str">
            <v>RHEM-CHPNGA</v>
          </cell>
          <cell r="C646" t="str">
            <v>VAR_ncap</v>
          </cell>
          <cell r="D646" t="str">
            <v>-</v>
          </cell>
          <cell r="I646">
            <v>5.1091652883234499E-3</v>
          </cell>
          <cell r="J646">
            <v>2.1266008364424799E-2</v>
          </cell>
          <cell r="K646">
            <v>4.5567189970965598E-8</v>
          </cell>
        </row>
        <row r="647">
          <cell r="B647" t="str">
            <v>RHEM-CHPNGA</v>
          </cell>
          <cell r="C647" t="str">
            <v>VAR_cap</v>
          </cell>
          <cell r="D647" t="str">
            <v>-</v>
          </cell>
          <cell r="I647">
            <v>4.4836102606227793E-2</v>
          </cell>
          <cell r="J647">
            <v>6.5954681333305454E-2</v>
          </cell>
          <cell r="K647">
            <v>3.5252311244021763E-2</v>
          </cell>
        </row>
        <row r="648">
          <cell r="B648" t="str">
            <v>D-DH2</v>
          </cell>
          <cell r="C648" t="str">
            <v>VAR_fout</v>
          </cell>
          <cell r="D648" t="str">
            <v>H2</v>
          </cell>
          <cell r="I648">
            <v>2.1588607591129606E-6</v>
          </cell>
          <cell r="J648">
            <v>1.8574874237365776E-4</v>
          </cell>
          <cell r="K648">
            <v>1.9578413231682783E-4</v>
          </cell>
        </row>
        <row r="649">
          <cell r="B649" t="str">
            <v>D-DH2</v>
          </cell>
          <cell r="C649" t="str">
            <v>VAR_fin</v>
          </cell>
          <cell r="D649" t="str">
            <v>H2_E</v>
          </cell>
          <cell r="I649">
            <v>2.1806674334474351E-6</v>
          </cell>
          <cell r="J649">
            <v>1.8762499229662397E-4</v>
          </cell>
          <cell r="K649">
            <v>1.9776174981497741E-4</v>
          </cell>
        </row>
        <row r="650">
          <cell r="B650" t="str">
            <v>D-DH2</v>
          </cell>
          <cell r="C650" t="str">
            <v>VAR_ncap</v>
          </cell>
          <cell r="D650" t="str">
            <v>-</v>
          </cell>
          <cell r="I650">
            <v>6.4919252989518699E-6</v>
          </cell>
          <cell r="J650">
            <v>3.04357155223654E-5</v>
          </cell>
          <cell r="K650">
            <v>8.7042901062835101E-7</v>
          </cell>
        </row>
        <row r="651">
          <cell r="B651" t="str">
            <v>D-DH2</v>
          </cell>
          <cell r="C651" t="str">
            <v>VAR_cap</v>
          </cell>
          <cell r="D651" t="str">
            <v>-</v>
          </cell>
          <cell r="I651">
            <v>1.19320833748911E-5</v>
          </cell>
          <cell r="J651">
            <v>4.2367798897256498E-5</v>
          </cell>
          <cell r="K651">
            <v>4.32382279078848E-5</v>
          </cell>
        </row>
        <row r="652">
          <cell r="B652" t="str">
            <v>D-SBIO</v>
          </cell>
          <cell r="C652" t="str">
            <v>VAR_fout</v>
          </cell>
          <cell r="D652" t="str">
            <v>SBIO</v>
          </cell>
          <cell r="I652">
            <v>2.9902037367918672</v>
          </cell>
          <cell r="J652">
            <v>2.9494347160453263</v>
          </cell>
          <cell r="K652">
            <v>2.8712695688230414</v>
          </cell>
        </row>
        <row r="653">
          <cell r="B653" t="str">
            <v>D-SBIO</v>
          </cell>
          <cell r="C653" t="str">
            <v>VAR_fin</v>
          </cell>
          <cell r="D653" t="str">
            <v>BIO</v>
          </cell>
          <cell r="I653">
            <v>2.9902037367918672</v>
          </cell>
          <cell r="J653">
            <v>2.9494347160453263</v>
          </cell>
          <cell r="K653">
            <v>2.8712695688230414</v>
          </cell>
        </row>
        <row r="654">
          <cell r="B654" t="str">
            <v>SCOM-CHPBIO</v>
          </cell>
          <cell r="C654" t="str">
            <v>VAR_fout</v>
          </cell>
          <cell r="D654" t="str">
            <v>SCOM_LTH_CHPBIO</v>
          </cell>
          <cell r="I654">
            <v>1.1649095626113581</v>
          </cell>
          <cell r="J654">
            <v>1.0059070253097822</v>
          </cell>
          <cell r="K654">
            <v>1.0059069792722668</v>
          </cell>
        </row>
        <row r="655">
          <cell r="B655" t="str">
            <v>SCOM-CHPBIO</v>
          </cell>
          <cell r="C655" t="str">
            <v>VAR_fout</v>
          </cell>
          <cell r="D655" t="str">
            <v>SCOM_KEV_BIO_ELC_CHP</v>
          </cell>
          <cell r="I655">
            <v>1.1059382878509092</v>
          </cell>
          <cell r="J655">
            <v>1.1059382607058463</v>
          </cell>
          <cell r="K655">
            <v>1.1059382100901844</v>
          </cell>
        </row>
        <row r="656">
          <cell r="B656" t="str">
            <v>SCOM-CHPBIO</v>
          </cell>
          <cell r="C656" t="str">
            <v>VAR_fin</v>
          </cell>
          <cell r="D656" t="str">
            <v>SBIO</v>
          </cell>
          <cell r="I656">
            <v>2.9902037367918672</v>
          </cell>
          <cell r="J656">
            <v>2.9494347160453263</v>
          </cell>
          <cell r="K656">
            <v>2.8712695688230414</v>
          </cell>
        </row>
        <row r="657">
          <cell r="B657" t="str">
            <v>SCOM-CHPBIO</v>
          </cell>
          <cell r="C657" t="str">
            <v>VAR_ncap</v>
          </cell>
          <cell r="D657" t="str">
            <v>-</v>
          </cell>
          <cell r="I657">
            <v>4.4083507474734801E-2</v>
          </cell>
          <cell r="J657">
            <v>3.1151085583192E-2</v>
          </cell>
          <cell r="K657">
            <v>4.3489704586102802E-2</v>
          </cell>
        </row>
        <row r="658">
          <cell r="B658" t="str">
            <v>SCOM-CHPBIO</v>
          </cell>
          <cell r="C658" t="str">
            <v>VAR_cap</v>
          </cell>
          <cell r="D658" t="str">
            <v>-</v>
          </cell>
          <cell r="I658">
            <v>8.4744174518203153E-2</v>
          </cell>
          <cell r="J658">
            <v>8.4744174450293738E-2</v>
          </cell>
          <cell r="K658">
            <v>8.4744157714482515E-2</v>
          </cell>
        </row>
        <row r="659">
          <cell r="B659" t="str">
            <v>RHES-EBAT</v>
          </cell>
          <cell r="C659" t="str">
            <v>VAR_fout</v>
          </cell>
          <cell r="D659" t="str">
            <v>RHES_ELC</v>
          </cell>
          <cell r="I659">
            <v>3.7149091229227341E-2</v>
          </cell>
          <cell r="J659">
            <v>2.4759524626075304E-3</v>
          </cell>
          <cell r="K659">
            <v>5.6300483352965607E-2</v>
          </cell>
        </row>
        <row r="660">
          <cell r="B660" t="str">
            <v>RHES-EBAT</v>
          </cell>
          <cell r="C660" t="str">
            <v>VAR_fout</v>
          </cell>
          <cell r="D660" t="str">
            <v>AUX_RHES-EBAT_OUT</v>
          </cell>
          <cell r="I660">
            <v>3.7149091229227368E-2</v>
          </cell>
          <cell r="J660">
            <v>2.4759524626075322E-3</v>
          </cell>
          <cell r="K660">
            <v>5.6300483352965662E-2</v>
          </cell>
        </row>
        <row r="661">
          <cell r="B661" t="str">
            <v>RHES-EBAT</v>
          </cell>
          <cell r="C661" t="str">
            <v>VAR_fin</v>
          </cell>
          <cell r="D661" t="str">
            <v>RHES_ELC</v>
          </cell>
          <cell r="I661">
            <v>4.1082024997927728E-2</v>
          </cell>
          <cell r="J661">
            <v>2.7382235010318359E-3</v>
          </cell>
          <cell r="K661">
            <v>6.226094983997757E-2</v>
          </cell>
        </row>
        <row r="662">
          <cell r="B662" t="str">
            <v>RHES-EBAT</v>
          </cell>
          <cell r="C662" t="str">
            <v>VAR_fin</v>
          </cell>
          <cell r="D662" t="str">
            <v>AUX_RHES-EBAT_IN</v>
          </cell>
          <cell r="I662">
            <v>4.1082024997927728E-2</v>
          </cell>
          <cell r="J662">
            <v>2.7382235010318359E-3</v>
          </cell>
          <cell r="K662">
            <v>6.226094983997757E-2</v>
          </cell>
        </row>
        <row r="663">
          <cell r="B663" t="str">
            <v>RHES-EBAT</v>
          </cell>
          <cell r="C663" t="str">
            <v>VAR_ncap</v>
          </cell>
          <cell r="D663" t="str">
            <v>-</v>
          </cell>
          <cell r="I663">
            <v>3.7402589478156903E-2</v>
          </cell>
          <cell r="J663">
            <v>3.9644990600462802E-2</v>
          </cell>
          <cell r="K663">
            <v>6.9098279014622704E-2</v>
          </cell>
        </row>
        <row r="664">
          <cell r="B664" t="str">
            <v>RHES-EBAT</v>
          </cell>
          <cell r="C664" t="str">
            <v>VAR_cap</v>
          </cell>
          <cell r="D664" t="str">
            <v>-</v>
          </cell>
          <cell r="I664">
            <v>7.0431100561291704E-2</v>
          </cell>
          <cell r="J664">
            <v>7.7094498846005818E-2</v>
          </cell>
          <cell r="K664">
            <v>9.5544141307428568E-2</v>
          </cell>
        </row>
        <row r="665">
          <cell r="B665" t="str">
            <v>D-INGA</v>
          </cell>
          <cell r="C665" t="str">
            <v>VAR_fout</v>
          </cell>
          <cell r="D665" t="str">
            <v>CO2</v>
          </cell>
          <cell r="I665">
            <v>1487.74726553243</v>
          </cell>
          <cell r="J665">
            <v>1493.83936592382</v>
          </cell>
          <cell r="K665">
            <v>1366.9506093330799</v>
          </cell>
        </row>
        <row r="666">
          <cell r="B666" t="str">
            <v>D-INGA</v>
          </cell>
          <cell r="C666" t="str">
            <v>VAR_fout</v>
          </cell>
          <cell r="D666" t="str">
            <v>IH2</v>
          </cell>
          <cell r="I666">
            <v>3.6179022586178577E-3</v>
          </cell>
          <cell r="J666">
            <v>3.9086741707524738E-3</v>
          </cell>
          <cell r="K666">
            <v>0.15375995085541189</v>
          </cell>
        </row>
        <row r="667">
          <cell r="B667" t="str">
            <v>D-INGA</v>
          </cell>
          <cell r="C667" t="str">
            <v>VAR_fout</v>
          </cell>
          <cell r="D667" t="str">
            <v>INGA</v>
          </cell>
          <cell r="I667">
            <v>29.38387865731417</v>
          </cell>
          <cell r="J667">
            <v>29.49154830799058</v>
          </cell>
          <cell r="K667">
            <v>27.248434395057124</v>
          </cell>
        </row>
        <row r="668">
          <cell r="B668" t="str">
            <v>D-INGA</v>
          </cell>
          <cell r="C668" t="str">
            <v>VAR_fin</v>
          </cell>
          <cell r="D668" t="str">
            <v>NGA</v>
          </cell>
          <cell r="I668">
            <v>26.378497615823321</v>
          </cell>
          <cell r="J668">
            <v>26.486513580209511</v>
          </cell>
          <cell r="K668">
            <v>24.23671293143758</v>
          </cell>
        </row>
        <row r="669">
          <cell r="B669" t="str">
            <v>D-INGA</v>
          </cell>
          <cell r="C669" t="str">
            <v>VAR_fin</v>
          </cell>
          <cell r="D669" t="str">
            <v>BNGA</v>
          </cell>
          <cell r="I669">
            <v>3.0992636166177836</v>
          </cell>
          <cell r="J669">
            <v>3.0992638369489725</v>
          </cell>
          <cell r="K669">
            <v>3.0992651637144419</v>
          </cell>
        </row>
        <row r="670">
          <cell r="B670" t="str">
            <v>D-INGA</v>
          </cell>
          <cell r="C670" t="str">
            <v>VAR_fin</v>
          </cell>
          <cell r="D670" t="str">
            <v>H2</v>
          </cell>
          <cell r="I670">
            <v>3.6175793755934844E-3</v>
          </cell>
          <cell r="J670">
            <v>3.9066128260037475E-3</v>
          </cell>
          <cell r="K670">
            <v>0.15375788951066899</v>
          </cell>
        </row>
        <row r="671">
          <cell r="B671" t="str">
            <v>D-INGA</v>
          </cell>
          <cell r="C671" t="str">
            <v>VAR_ncap</v>
          </cell>
          <cell r="D671" t="str">
            <v>-</v>
          </cell>
          <cell r="I671">
            <v>1.6498340613317799E-7</v>
          </cell>
          <cell r="J671">
            <v>3.1791772463721598E-7</v>
          </cell>
          <cell r="K671">
            <v>5.59558668992126E-2</v>
          </cell>
        </row>
        <row r="672">
          <cell r="B672" t="str">
            <v>D-INGA</v>
          </cell>
          <cell r="C672" t="str">
            <v>VAR_cap</v>
          </cell>
          <cell r="D672" t="str">
            <v>-</v>
          </cell>
          <cell r="I672">
            <v>1.9844838184858717</v>
          </cell>
          <cell r="J672">
            <v>1.9844841364035963</v>
          </cell>
          <cell r="K672">
            <v>1.1514160704826288</v>
          </cell>
        </row>
        <row r="673">
          <cell r="B673" t="str">
            <v>EWIND</v>
          </cell>
          <cell r="C673" t="str">
            <v>VAR_fout</v>
          </cell>
          <cell r="D673" t="str">
            <v>ELC35</v>
          </cell>
          <cell r="I673">
            <v>0.87543233236874141</v>
          </cell>
          <cell r="J673">
            <v>0.87543265782720092</v>
          </cell>
          <cell r="K673">
            <v>0.8754315673080405</v>
          </cell>
        </row>
        <row r="674">
          <cell r="B674" t="str">
            <v>EWIND</v>
          </cell>
          <cell r="C674" t="str">
            <v>VAR_fin</v>
          </cell>
          <cell r="D674" t="str">
            <v>WND</v>
          </cell>
          <cell r="I674">
            <v>0.87543233236874141</v>
          </cell>
          <cell r="J674">
            <v>0.87543265782720092</v>
          </cell>
          <cell r="K674">
            <v>0.8754315673080405</v>
          </cell>
        </row>
        <row r="675">
          <cell r="B675" t="str">
            <v>EWIND</v>
          </cell>
          <cell r="C675" t="str">
            <v>VAR_ncap</v>
          </cell>
          <cell r="D675" t="str">
            <v>-</v>
          </cell>
          <cell r="I675">
            <v>2.2846322627159601E-2</v>
          </cell>
          <cell r="J675">
            <v>2.9071174147862899E-7</v>
          </cell>
          <cell r="K675">
            <v>0.125460729169037</v>
          </cell>
        </row>
        <row r="676">
          <cell r="B676" t="str">
            <v>EWIND</v>
          </cell>
          <cell r="C676" t="str">
            <v>VAR_cap</v>
          </cell>
          <cell r="D676" t="str">
            <v>-</v>
          </cell>
          <cell r="I676">
            <v>0.14554898528417481</v>
          </cell>
          <cell r="J676">
            <v>0.14554916819972469</v>
          </cell>
          <cell r="K676">
            <v>0.14554901260663999</v>
          </cell>
        </row>
        <row r="677">
          <cell r="B677" t="str">
            <v>EGEO</v>
          </cell>
          <cell r="C677" t="str">
            <v>VAR_fout</v>
          </cell>
          <cell r="D677" t="str">
            <v>ELC35</v>
          </cell>
          <cell r="J677">
            <v>1.2804644885137608E-4</v>
          </cell>
          <cell r="K677">
            <v>6.6437604934575865E-4</v>
          </cell>
        </row>
        <row r="678">
          <cell r="B678" t="str">
            <v>EGEO</v>
          </cell>
          <cell r="C678" t="str">
            <v>VAR_fin</v>
          </cell>
          <cell r="D678" t="str">
            <v>GEO</v>
          </cell>
          <cell r="J678">
            <v>8.5364299234250737E-4</v>
          </cell>
          <cell r="K678">
            <v>4.4291736623050578E-3</v>
          </cell>
        </row>
        <row r="679">
          <cell r="B679" t="str">
            <v>EGEO</v>
          </cell>
          <cell r="C679" t="str">
            <v>VAR_ncap</v>
          </cell>
          <cell r="D679" t="str">
            <v>-</v>
          </cell>
          <cell r="J679">
            <v>3.2318009094882099E-5</v>
          </cell>
          <cell r="K679">
            <v>1.0305164921977199E-8</v>
          </cell>
        </row>
        <row r="680">
          <cell r="B680" t="str">
            <v>EGEO</v>
          </cell>
          <cell r="C680" t="str">
            <v>VAR_cap</v>
          </cell>
          <cell r="D680" t="str">
            <v>-</v>
          </cell>
          <cell r="J680">
            <v>5.0593833464325498E-6</v>
          </cell>
          <cell r="K680">
            <v>3.2323955230160801E-5</v>
          </cell>
        </row>
        <row r="681">
          <cell r="B681" t="str">
            <v>D-SPLT</v>
          </cell>
          <cell r="C681" t="str">
            <v>VAR_fout</v>
          </cell>
          <cell r="D681" t="str">
            <v>SPLT</v>
          </cell>
          <cell r="I681">
            <v>1.2909842455945253</v>
          </cell>
          <cell r="J681">
            <v>1.5136728068811154</v>
          </cell>
          <cell r="K681">
            <v>1.8537007464508497</v>
          </cell>
        </row>
        <row r="682">
          <cell r="B682" t="str">
            <v>D-SPLT</v>
          </cell>
          <cell r="C682" t="str">
            <v>VAR_fin</v>
          </cell>
          <cell r="D682" t="str">
            <v>PLT</v>
          </cell>
          <cell r="I682">
            <v>1.2909842455945253</v>
          </cell>
          <cell r="J682">
            <v>1.5136728068811154</v>
          </cell>
          <cell r="K682">
            <v>1.8537007464508497</v>
          </cell>
        </row>
        <row r="683">
          <cell r="B683" t="str">
            <v>RHES-ESOLPV</v>
          </cell>
          <cell r="C683" t="str">
            <v>VAR_fout</v>
          </cell>
          <cell r="D683" t="str">
            <v>RHES_SOL_ELC</v>
          </cell>
          <cell r="I683">
            <v>4.6110640360126478</v>
          </cell>
          <cell r="J683">
            <v>4.8944479724448486</v>
          </cell>
          <cell r="K683">
            <v>5.5145342867901004</v>
          </cell>
        </row>
        <row r="684">
          <cell r="B684" t="str">
            <v>RHES-ESOLPV</v>
          </cell>
          <cell r="C684" t="str">
            <v>VAR_fin</v>
          </cell>
          <cell r="D684" t="str">
            <v>SOL</v>
          </cell>
          <cell r="I684">
            <v>4.6110640360126478</v>
          </cell>
          <cell r="J684">
            <v>4.8944479724448486</v>
          </cell>
          <cell r="K684">
            <v>5.5145342867901004</v>
          </cell>
        </row>
        <row r="685">
          <cell r="B685" t="str">
            <v>RHES-ESOLPV</v>
          </cell>
          <cell r="C685" t="str">
            <v>VAR_fin</v>
          </cell>
          <cell r="D685" t="str">
            <v>SOLPVC</v>
          </cell>
          <cell r="I685">
            <v>4.6110640360126496</v>
          </cell>
          <cell r="J685">
            <v>4.8944479724448504</v>
          </cell>
          <cell r="K685">
            <v>5.5145342867900897</v>
          </cell>
        </row>
        <row r="686">
          <cell r="B686" t="str">
            <v>RHES-ESOLPV</v>
          </cell>
          <cell r="C686" t="str">
            <v>VAR_ncap</v>
          </cell>
          <cell r="D686" t="str">
            <v>-</v>
          </cell>
          <cell r="I686">
            <v>0.29984425517205898</v>
          </cell>
          <cell r="J686">
            <v>0.66479854881359401</v>
          </cell>
          <cell r="K686">
            <v>0.68594723126284896</v>
          </cell>
        </row>
        <row r="687">
          <cell r="B687" t="str">
            <v>RHES-ESOLPV</v>
          </cell>
          <cell r="C687" t="str">
            <v>VAR_cap</v>
          </cell>
          <cell r="D687" t="str">
            <v>-</v>
          </cell>
          <cell r="I687">
            <v>1.3292358003761839</v>
          </cell>
          <cell r="J687">
            <v>1.41092714710944</v>
          </cell>
          <cell r="K687">
            <v>1.58967976599859</v>
          </cell>
        </row>
        <row r="688">
          <cell r="B688" t="str">
            <v>EHYD-DAM10</v>
          </cell>
          <cell r="C688" t="str">
            <v>VAR_fout</v>
          </cell>
          <cell r="D688" t="str">
            <v>ELC</v>
          </cell>
          <cell r="I688">
            <v>0.71727643352927373</v>
          </cell>
          <cell r="J688">
            <v>0.72935281563028886</v>
          </cell>
          <cell r="K688">
            <v>0.7317355829300809</v>
          </cell>
        </row>
        <row r="689">
          <cell r="B689" t="str">
            <v>EHYD-DAM10</v>
          </cell>
          <cell r="C689" t="str">
            <v>VAR_fin</v>
          </cell>
          <cell r="D689" t="str">
            <v>HYDD</v>
          </cell>
          <cell r="I689">
            <v>0.71727643352927373</v>
          </cell>
          <cell r="J689">
            <v>0.72935281563028886</v>
          </cell>
          <cell r="K689">
            <v>0.7317355829300809</v>
          </cell>
        </row>
        <row r="690">
          <cell r="B690" t="str">
            <v>EHYD-DAM10</v>
          </cell>
          <cell r="C690" t="str">
            <v>VAR_ncap</v>
          </cell>
          <cell r="D690" t="str">
            <v>-</v>
          </cell>
          <cell r="I690">
            <v>9.6746974503175301E-8</v>
          </cell>
          <cell r="J690">
            <v>1.39923519453511E-7</v>
          </cell>
          <cell r="K690">
            <v>4.0374155272400099E-8</v>
          </cell>
        </row>
        <row r="691">
          <cell r="B691" t="str">
            <v>EHYD-DAM10</v>
          </cell>
          <cell r="C691" t="str">
            <v>VAR_cap</v>
          </cell>
          <cell r="D691" t="str">
            <v>-</v>
          </cell>
          <cell r="I691">
            <v>7.5282681912324304E-2</v>
          </cell>
          <cell r="J691">
            <v>7.52828218358437E-2</v>
          </cell>
          <cell r="K691">
            <v>7.5282862209998996E-2</v>
          </cell>
        </row>
        <row r="692">
          <cell r="B692" t="str">
            <v>DH-EBAT</v>
          </cell>
          <cell r="C692" t="str">
            <v>VAR_fout</v>
          </cell>
          <cell r="D692" t="str">
            <v>ELC35</v>
          </cell>
          <cell r="I692">
            <v>1.6159619383630655E-2</v>
          </cell>
          <cell r="J692">
            <v>2.6686731659615018E-3</v>
          </cell>
          <cell r="K692">
            <v>2.5349042133521429E-2</v>
          </cell>
        </row>
        <row r="693">
          <cell r="B693" t="str">
            <v>DH-EBAT</v>
          </cell>
          <cell r="C693" t="str">
            <v>VAR_fout</v>
          </cell>
          <cell r="D693" t="str">
            <v>AUX_DH-EBAT_OUT</v>
          </cell>
          <cell r="I693">
            <v>1.6159619383630655E-2</v>
          </cell>
          <cell r="J693">
            <v>2.6686731659615014E-3</v>
          </cell>
          <cell r="K693">
            <v>2.5349042133521418E-2</v>
          </cell>
        </row>
        <row r="694">
          <cell r="B694" t="str">
            <v>DH-EBAT</v>
          </cell>
          <cell r="C694" t="str">
            <v>VAR_fin</v>
          </cell>
          <cell r="D694" t="str">
            <v>ELC35</v>
          </cell>
          <cell r="I694">
            <v>1.8070313839190826E-2</v>
          </cell>
          <cell r="J694">
            <v>2.9843251957541619E-3</v>
          </cell>
          <cell r="K694">
            <v>2.8346111264197022E-2</v>
          </cell>
        </row>
        <row r="695">
          <cell r="B695" t="str">
            <v>DH-EBAT</v>
          </cell>
          <cell r="C695" t="str">
            <v>VAR_fin</v>
          </cell>
          <cell r="D695" t="str">
            <v>AUX_DH-EBAT_IN</v>
          </cell>
          <cell r="I695">
            <v>1.8070313839190826E-2</v>
          </cell>
          <cell r="J695">
            <v>2.9843251957541619E-3</v>
          </cell>
          <cell r="K695">
            <v>2.8346111264197022E-2</v>
          </cell>
        </row>
        <row r="696">
          <cell r="B696" t="str">
            <v>DH-EBAT</v>
          </cell>
          <cell r="C696" t="str">
            <v>VAR_ncap</v>
          </cell>
          <cell r="D696" t="str">
            <v>-</v>
          </cell>
          <cell r="I696">
            <v>2.1854940294393399E-3</v>
          </cell>
          <cell r="J696">
            <v>4.43631578155589E-3</v>
          </cell>
          <cell r="K696">
            <v>4.5020489962761699E-3</v>
          </cell>
        </row>
        <row r="697">
          <cell r="B697" t="str">
            <v>DH-EBAT</v>
          </cell>
          <cell r="C697" t="str">
            <v>VAR_cap</v>
          </cell>
          <cell r="D697" t="str">
            <v>-</v>
          </cell>
          <cell r="I697">
            <v>6.890123036340335E-3</v>
          </cell>
          <cell r="J697">
            <v>7.1103131245678431E-3</v>
          </cell>
          <cell r="K697">
            <v>7.110354747917904E-3</v>
          </cell>
        </row>
        <row r="698">
          <cell r="B698" t="str">
            <v>RHEM-EBAT</v>
          </cell>
          <cell r="C698" t="str">
            <v>VAR_fout</v>
          </cell>
          <cell r="D698" t="str">
            <v>RHEM_ELC</v>
          </cell>
          <cell r="I698">
            <v>1.4112250048762171E-2</v>
          </cell>
          <cell r="J698">
            <v>2.2090714205895302E-3</v>
          </cell>
          <cell r="K698">
            <v>2.1300701554113555E-2</v>
          </cell>
        </row>
        <row r="699">
          <cell r="B699" t="str">
            <v>RHEM-EBAT</v>
          </cell>
          <cell r="C699" t="str">
            <v>VAR_fout</v>
          </cell>
          <cell r="D699" t="str">
            <v>AUX_RHEM-EBAT_OUT</v>
          </cell>
          <cell r="I699">
            <v>1.4112250048762202E-2</v>
          </cell>
          <cell r="J699">
            <v>2.2090714205895323E-3</v>
          </cell>
          <cell r="K699">
            <v>2.130070155411358E-2</v>
          </cell>
        </row>
        <row r="700">
          <cell r="B700" t="str">
            <v>RHEM-EBAT</v>
          </cell>
          <cell r="C700" t="str">
            <v>VAR_fin</v>
          </cell>
          <cell r="D700" t="str">
            <v>RHEM_ELC</v>
          </cell>
          <cell r="I700">
            <v>1.5606391695082307E-2</v>
          </cell>
          <cell r="J700">
            <v>2.4430895122190838E-3</v>
          </cell>
          <cell r="K700">
            <v>2.3555923268228966E-2</v>
          </cell>
        </row>
        <row r="701">
          <cell r="B701" t="str">
            <v>RHEM-EBAT</v>
          </cell>
          <cell r="C701" t="str">
            <v>VAR_fin</v>
          </cell>
          <cell r="D701" t="str">
            <v>AUX_RHEM-EBAT_IN</v>
          </cell>
          <cell r="I701">
            <v>1.5606391695082307E-2</v>
          </cell>
          <cell r="J701">
            <v>2.4430895122190838E-3</v>
          </cell>
          <cell r="K701">
            <v>2.3555923268228966E-2</v>
          </cell>
        </row>
        <row r="702">
          <cell r="B702" t="str">
            <v>RHEM-EBAT</v>
          </cell>
          <cell r="C702" t="str">
            <v>VAR_ncap</v>
          </cell>
          <cell r="D702" t="str">
            <v>-</v>
          </cell>
          <cell r="I702">
            <v>1.1000595284975699E-2</v>
          </cell>
          <cell r="J702">
            <v>1.1907667880851401E-2</v>
          </cell>
          <cell r="K702">
            <v>2.0029361972165999E-2</v>
          </cell>
        </row>
        <row r="703">
          <cell r="B703" t="str">
            <v>RHEM-EBAT</v>
          </cell>
          <cell r="C703" t="str">
            <v>VAR_cap</v>
          </cell>
          <cell r="D703" t="str">
            <v>-</v>
          </cell>
          <cell r="I703">
            <v>2.1208974032456834E-2</v>
          </cell>
          <cell r="J703">
            <v>2.2988565369639384E-2</v>
          </cell>
          <cell r="K703">
            <v>2.7931560241934314E-2</v>
          </cell>
        </row>
        <row r="704">
          <cell r="B704" t="str">
            <v>HPLGEO</v>
          </cell>
          <cell r="C704" t="str">
            <v>VAR_fout</v>
          </cell>
          <cell r="D704" t="str">
            <v>LTH</v>
          </cell>
          <cell r="J704">
            <v>1.428251859527679E-5</v>
          </cell>
          <cell r="K704">
            <v>1.432104701526869E-5</v>
          </cell>
        </row>
        <row r="705">
          <cell r="B705" t="str">
            <v>HPLGEO</v>
          </cell>
          <cell r="C705" t="str">
            <v>VAR_fin</v>
          </cell>
          <cell r="D705" t="str">
            <v>GEO</v>
          </cell>
          <cell r="J705">
            <v>1.6802963053266823E-5</v>
          </cell>
          <cell r="K705">
            <v>1.6848290606198463E-5</v>
          </cell>
        </row>
        <row r="706">
          <cell r="B706" t="str">
            <v>HPLGEO</v>
          </cell>
          <cell r="C706" t="str">
            <v>VAR_ncap</v>
          </cell>
          <cell r="D706" t="str">
            <v>-</v>
          </cell>
          <cell r="J706">
            <v>1.2897087922132601E-6</v>
          </cell>
          <cell r="K706">
            <v>2.44070075889535E-8</v>
          </cell>
        </row>
        <row r="707">
          <cell r="B707" t="str">
            <v>HPLGEO</v>
          </cell>
          <cell r="C707" t="str">
            <v>VAR_cap</v>
          </cell>
          <cell r="D707" t="str">
            <v>-</v>
          </cell>
          <cell r="J707">
            <v>1.2897087922132601E-6</v>
          </cell>
          <cell r="K707">
            <v>1.3141157998022099E-6</v>
          </cell>
        </row>
        <row r="708">
          <cell r="B708" t="str">
            <v>EHYD-PUM15</v>
          </cell>
          <cell r="C708" t="str">
            <v>VAR_fout</v>
          </cell>
          <cell r="D708" t="str">
            <v>ELC</v>
          </cell>
          <cell r="I708">
            <v>3.7149366311509298E-4</v>
          </cell>
          <cell r="J708">
            <v>3.5070595949024039E-4</v>
          </cell>
          <cell r="K708">
            <v>3.3436680513579896E-4</v>
          </cell>
        </row>
        <row r="709">
          <cell r="B709" t="str">
            <v>EHYD-PUM15</v>
          </cell>
          <cell r="C709" t="str">
            <v>VAR_fout</v>
          </cell>
          <cell r="D709" t="str">
            <v>AUX_PUMP_OUT</v>
          </cell>
          <cell r="I709">
            <v>3.7149366311509298E-4</v>
          </cell>
          <cell r="J709">
            <v>3.5070595949024039E-4</v>
          </cell>
          <cell r="K709">
            <v>3.3436680513579896E-4</v>
          </cell>
        </row>
        <row r="710">
          <cell r="B710" t="str">
            <v>EHYD-PUM15</v>
          </cell>
          <cell r="C710" t="str">
            <v>VAR_fin</v>
          </cell>
          <cell r="D710" t="str">
            <v>AUX_PUMP_IN</v>
          </cell>
          <cell r="I710">
            <v>4.6434702104678762E-4</v>
          </cell>
          <cell r="J710">
            <v>4.3831276061206823E-4</v>
          </cell>
          <cell r="K710">
            <v>4.1790734774547502E-4</v>
          </cell>
        </row>
        <row r="711">
          <cell r="B711" t="str">
            <v>EHYD-PUM15</v>
          </cell>
          <cell r="C711" t="str">
            <v>VAR_fin</v>
          </cell>
          <cell r="D711" t="str">
            <v>ELC</v>
          </cell>
          <cell r="I711">
            <v>4.6434702104678762E-4</v>
          </cell>
          <cell r="J711">
            <v>4.3831276061206823E-4</v>
          </cell>
          <cell r="K711">
            <v>4.1790734774547502E-4</v>
          </cell>
        </row>
        <row r="712">
          <cell r="B712" t="str">
            <v>EHYD-PUM15</v>
          </cell>
          <cell r="C712" t="str">
            <v>VAR_ncap</v>
          </cell>
          <cell r="D712" t="str">
            <v>-</v>
          </cell>
          <cell r="J712">
            <v>1.5497064239321199E-8</v>
          </cell>
          <cell r="K712">
            <v>7.5281033154504406E-8</v>
          </cell>
        </row>
        <row r="713">
          <cell r="B713" t="str">
            <v>EHYD-PUM15</v>
          </cell>
          <cell r="C713" t="str">
            <v>VAR_cap</v>
          </cell>
          <cell r="D713" t="str">
            <v>-</v>
          </cell>
          <cell r="I713">
            <v>3.1730692329420697E-5</v>
          </cell>
          <cell r="J713">
            <v>3.1738379260315902E-5</v>
          </cell>
          <cell r="K713">
            <v>3.1763860818217598E-5</v>
          </cell>
        </row>
        <row r="714">
          <cell r="B714" t="str">
            <v>D-EWST</v>
          </cell>
          <cell r="C714" t="str">
            <v>VAR_fout</v>
          </cell>
          <cell r="D714" t="str">
            <v>CO2</v>
          </cell>
          <cell r="I714">
            <v>2240.45295779258</v>
          </cell>
          <cell r="J714">
            <v>2266.09853313444</v>
          </cell>
          <cell r="K714">
            <v>2317.3896202974001</v>
          </cell>
        </row>
        <row r="715">
          <cell r="B715" t="str">
            <v>D-EWST</v>
          </cell>
          <cell r="C715" t="str">
            <v>VAR_fout</v>
          </cell>
          <cell r="D715" t="str">
            <v>EWST</v>
          </cell>
          <cell r="I715">
            <v>48.285627782050753</v>
          </cell>
          <cell r="J715">
            <v>48.838332570549525</v>
          </cell>
          <cell r="K715">
            <v>49.943743016591824</v>
          </cell>
        </row>
        <row r="716">
          <cell r="B716" t="str">
            <v>D-EWST</v>
          </cell>
          <cell r="C716" t="str">
            <v>VAR_fin</v>
          </cell>
          <cell r="D716" t="str">
            <v>WSTNREN</v>
          </cell>
          <cell r="I716">
            <v>24.142812045178708</v>
          </cell>
          <cell r="J716">
            <v>24.419165227741818</v>
          </cell>
          <cell r="K716">
            <v>24.971870908377102</v>
          </cell>
        </row>
        <row r="717">
          <cell r="B717" t="str">
            <v>D-EWST</v>
          </cell>
          <cell r="C717" t="str">
            <v>VAR_fin</v>
          </cell>
          <cell r="D717" t="str">
            <v>WSTREN</v>
          </cell>
          <cell r="I717">
            <v>24.142812045178708</v>
          </cell>
          <cell r="J717">
            <v>24.419165227741818</v>
          </cell>
          <cell r="K717">
            <v>24.971870908377102</v>
          </cell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5.0403527815965798</v>
          </cell>
          <cell r="I4">
            <v>5.04035279549836</v>
          </cell>
          <cell r="J4">
            <v>5.0403528415515604</v>
          </cell>
        </row>
        <row r="5">
          <cell r="A5" t="str">
            <v>EXPELC_DE</v>
          </cell>
          <cell r="C5" t="str">
            <v>ELC_E-DE</v>
          </cell>
          <cell r="H5">
            <v>7.3496771639306423E-5</v>
          </cell>
          <cell r="I5">
            <v>1.0423175190983871E-4</v>
          </cell>
          <cell r="J5">
            <v>3.3294943329047434E-5</v>
          </cell>
        </row>
        <row r="6">
          <cell r="A6" t="str">
            <v>IMPDSL</v>
          </cell>
          <cell r="C6" t="str">
            <v>DSL</v>
          </cell>
          <cell r="H6">
            <v>48.500916664891413</v>
          </cell>
          <cell r="I6">
            <v>37.127890618488088</v>
          </cell>
          <cell r="J6">
            <v>27.405116023282371</v>
          </cell>
        </row>
        <row r="7">
          <cell r="A7" t="str">
            <v>IMPH2</v>
          </cell>
          <cell r="C7" t="str">
            <v>H2</v>
          </cell>
          <cell r="I7">
            <v>7.184609358289461E-5</v>
          </cell>
          <cell r="J7">
            <v>7.199672519050043E-5</v>
          </cell>
        </row>
        <row r="8">
          <cell r="A8" t="str">
            <v>IMPELC_AT</v>
          </cell>
          <cell r="C8" t="str">
            <v>ELC_I-AT</v>
          </cell>
          <cell r="H8">
            <v>1.3656479585206398E-3</v>
          </cell>
          <cell r="I8">
            <v>9.7275813411647931E-4</v>
          </cell>
          <cell r="J8">
            <v>4.2389488297041642E-4</v>
          </cell>
        </row>
        <row r="9">
          <cell r="A9" t="str">
            <v>IMPELC_AT</v>
          </cell>
          <cell r="C9" t="str">
            <v>ELCS</v>
          </cell>
          <cell r="H9">
            <v>1.3656479585206398E-3</v>
          </cell>
          <cell r="I9">
            <v>9.7275813411647931E-4</v>
          </cell>
          <cell r="J9">
            <v>4.2389488297041642E-4</v>
          </cell>
        </row>
        <row r="10">
          <cell r="A10" t="str">
            <v>IMPELC_FR</v>
          </cell>
          <cell r="C10" t="str">
            <v>ELC_I-FR</v>
          </cell>
          <cell r="H10">
            <v>17.633225422575343</v>
          </cell>
          <cell r="I10">
            <v>10.574037009837278</v>
          </cell>
          <cell r="J10">
            <v>6.4895767217875022</v>
          </cell>
        </row>
        <row r="11">
          <cell r="A11" t="str">
            <v>IMPELC_FR</v>
          </cell>
          <cell r="C11" t="str">
            <v>ELCS</v>
          </cell>
          <cell r="H11">
            <v>17.633225422575343</v>
          </cell>
          <cell r="I11">
            <v>10.574037009837278</v>
          </cell>
          <cell r="J11">
            <v>6.4895767217875022</v>
          </cell>
        </row>
        <row r="12">
          <cell r="A12" t="str">
            <v>RNWHYDR1</v>
          </cell>
          <cell r="C12" t="str">
            <v>HYDR</v>
          </cell>
          <cell r="H12">
            <v>63.378495368763801</v>
          </cell>
          <cell r="I12">
            <v>62.293772492353867</v>
          </cell>
          <cell r="J12">
            <v>60.124031879381079</v>
          </cell>
        </row>
        <row r="13">
          <cell r="A13" t="str">
            <v>EXPELC_IT</v>
          </cell>
          <cell r="C13" t="str">
            <v>ELC_E-IT</v>
          </cell>
          <cell r="H13">
            <v>41.325669960079331</v>
          </cell>
          <cell r="I13">
            <v>20.464958427965954</v>
          </cell>
          <cell r="J13">
            <v>19.598140571321029</v>
          </cell>
        </row>
        <row r="14">
          <cell r="A14" t="str">
            <v>IMPLNG</v>
          </cell>
          <cell r="C14" t="str">
            <v>LBIO</v>
          </cell>
          <cell r="H14">
            <v>2.1235197064937679</v>
          </cell>
          <cell r="I14">
            <v>2.1356136277633837</v>
          </cell>
          <cell r="J14">
            <v>1.7924588277219182E-4</v>
          </cell>
        </row>
        <row r="15">
          <cell r="A15" t="str">
            <v>IMPLNG</v>
          </cell>
          <cell r="C15" t="str">
            <v>LNGA</v>
          </cell>
          <cell r="H15">
            <v>2.9885723376467773E-4</v>
          </cell>
          <cell r="I15">
            <v>8.7058941063537473E-5</v>
          </cell>
          <cell r="J15">
            <v>1.4910040692113231E-4</v>
          </cell>
        </row>
        <row r="16">
          <cell r="A16" t="str">
            <v>IMPURN1</v>
          </cell>
          <cell r="C16" t="str">
            <v>URN</v>
          </cell>
          <cell r="H16">
            <v>190.50729033456858</v>
          </cell>
          <cell r="I16">
            <v>190.50731732366512</v>
          </cell>
          <cell r="J16">
            <v>278.03324468182126</v>
          </cell>
        </row>
        <row r="17">
          <cell r="A17" t="str">
            <v>EXPELC_AT</v>
          </cell>
          <cell r="C17" t="str">
            <v>ELC_E-AT</v>
          </cell>
          <cell r="H17">
            <v>2.9704435218332468E-5</v>
          </cell>
          <cell r="I17">
            <v>2.8725712579620754E-5</v>
          </cell>
          <cell r="J17">
            <v>2.5387160808957888E-5</v>
          </cell>
        </row>
        <row r="18">
          <cell r="A18" t="str">
            <v>EXPELC_FR</v>
          </cell>
          <cell r="C18" t="str">
            <v>ELC_E-FR</v>
          </cell>
          <cell r="H18">
            <v>8.0437516107818919E-5</v>
          </cell>
          <cell r="I18">
            <v>9.9589477018543411E-5</v>
          </cell>
          <cell r="J18">
            <v>7.962150637452402E-5</v>
          </cell>
        </row>
        <row r="19">
          <cell r="A19" t="str">
            <v>RNWWND1</v>
          </cell>
          <cell r="C19" t="str">
            <v>WND</v>
          </cell>
          <cell r="H19">
            <v>0.87500011231686992</v>
          </cell>
          <cell r="I19">
            <v>0.87507233318736899</v>
          </cell>
          <cell r="J19">
            <v>0.87512300777850738</v>
          </cell>
        </row>
        <row r="20">
          <cell r="A20" t="str">
            <v>RNWWND2</v>
          </cell>
          <cell r="C20" t="str">
            <v>WND</v>
          </cell>
          <cell r="H20">
            <v>1.5695630320311087E-4</v>
          </cell>
          <cell r="I20">
            <v>1.3668245477128747E-4</v>
          </cell>
          <cell r="J20">
            <v>1.2613799956229412E-4</v>
          </cell>
        </row>
        <row r="21">
          <cell r="A21" t="str">
            <v>RNWMNR1</v>
          </cell>
          <cell r="C21" t="str">
            <v>MNR</v>
          </cell>
          <cell r="H21">
            <v>12.540427013672588</v>
          </cell>
          <cell r="I21">
            <v>12.540424576703357</v>
          </cell>
          <cell r="J21">
            <v>12.540425525503553</v>
          </cell>
        </row>
        <row r="22">
          <cell r="A22" t="str">
            <v>RNWWND3</v>
          </cell>
          <cell r="C22" t="str">
            <v>WND</v>
          </cell>
          <cell r="H22">
            <v>1.258533403342394E-4</v>
          </cell>
          <cell r="I22">
            <v>1.0445441986955385E-4</v>
          </cell>
          <cell r="J22">
            <v>8.8499920526904195E-5</v>
          </cell>
        </row>
        <row r="23">
          <cell r="A23" t="str">
            <v>RNWMNR2</v>
          </cell>
          <cell r="C23" t="str">
            <v>MNR</v>
          </cell>
          <cell r="I23">
            <v>8.2457492204846884E-4</v>
          </cell>
          <cell r="J23">
            <v>8.7050285621398935E-4</v>
          </cell>
        </row>
        <row r="24">
          <cell r="A24" t="str">
            <v>RNWWND4</v>
          </cell>
          <cell r="C24" t="str">
            <v>WND</v>
          </cell>
          <cell r="H24">
            <v>8.8258763827730958E-5</v>
          </cell>
          <cell r="I24">
            <v>7.0652544252079426E-5</v>
          </cell>
          <cell r="J24">
            <v>5.6572285257258651E-5</v>
          </cell>
        </row>
        <row r="25">
          <cell r="A25" t="str">
            <v>RNWMNR3</v>
          </cell>
          <cell r="C25" t="str">
            <v>MNR</v>
          </cell>
          <cell r="I25">
            <v>1.458944386258049E-4</v>
          </cell>
          <cell r="J25">
            <v>9.951434872052748E-5</v>
          </cell>
        </row>
        <row r="26">
          <cell r="A26" t="str">
            <v>IMPLFO1</v>
          </cell>
          <cell r="C26" t="str">
            <v>LFO</v>
          </cell>
          <cell r="H26">
            <v>45.426260300751686</v>
          </cell>
          <cell r="I26">
            <v>34.053433165786565</v>
          </cell>
          <cell r="J26">
            <v>11.665400259633792</v>
          </cell>
        </row>
        <row r="27">
          <cell r="A27" t="str">
            <v>RNWWND5</v>
          </cell>
          <cell r="C27" t="str">
            <v>WND</v>
          </cell>
          <cell r="H27">
            <v>6.4373470487388579E-5</v>
          </cell>
          <cell r="I27">
            <v>5.187737118652379E-5</v>
          </cell>
          <cell r="J27">
            <v>4.0187834038184091E-5</v>
          </cell>
        </row>
        <row r="28">
          <cell r="A28" t="str">
            <v>IMPBNGA</v>
          </cell>
          <cell r="C28" t="str">
            <v>BIO</v>
          </cell>
          <cell r="H28">
            <v>3.7951799135007795</v>
          </cell>
          <cell r="I28">
            <v>3.9022328868228833</v>
          </cell>
          <cell r="J28">
            <v>6.2812102518020989</v>
          </cell>
        </row>
        <row r="29">
          <cell r="A29" t="str">
            <v>RNWGEO1</v>
          </cell>
          <cell r="C29" t="str">
            <v>GEO</v>
          </cell>
          <cell r="I29">
            <v>2.4268335365984126E-4</v>
          </cell>
          <cell r="J29">
            <v>2.924639117784354E-3</v>
          </cell>
        </row>
        <row r="30">
          <cell r="A30" t="str">
            <v>RNWGEO2</v>
          </cell>
          <cell r="C30" t="str">
            <v>GEO</v>
          </cell>
          <cell r="I30">
            <v>2.0512863322060009E-4</v>
          </cell>
          <cell r="J30">
            <v>7.6638546005222729E-4</v>
          </cell>
        </row>
        <row r="31">
          <cell r="A31" t="str">
            <v>IMPKERintl</v>
          </cell>
          <cell r="C31" t="str">
            <v>KERintl</v>
          </cell>
          <cell r="H31">
            <v>78.965526524580895</v>
          </cell>
          <cell r="I31">
            <v>78.093253548679499</v>
          </cell>
          <cell r="J31">
            <v>74.980032653912502</v>
          </cell>
        </row>
        <row r="32">
          <cell r="A32" t="str">
            <v>RNWGEO3</v>
          </cell>
          <cell r="C32" t="str">
            <v>GEO</v>
          </cell>
          <cell r="I32">
            <v>1.5774944848439401E-4</v>
          </cell>
          <cell r="J32">
            <v>3.1360699891793174E-4</v>
          </cell>
        </row>
        <row r="33">
          <cell r="A33" t="str">
            <v>RNWGEO4</v>
          </cell>
          <cell r="C33" t="str">
            <v>GEO</v>
          </cell>
          <cell r="I33">
            <v>1.4085948267830112E-4</v>
          </cell>
          <cell r="J33">
            <v>2.4356839465369687E-4</v>
          </cell>
        </row>
        <row r="34">
          <cell r="A34" t="str">
            <v>RNWGEO5</v>
          </cell>
          <cell r="C34" t="str">
            <v>GEO</v>
          </cell>
          <cell r="I34">
            <v>1.2703841068313707E-4</v>
          </cell>
          <cell r="J34">
            <v>2.0018755201065572E-4</v>
          </cell>
        </row>
        <row r="35">
          <cell r="A35" t="str">
            <v>IMPGSL</v>
          </cell>
          <cell r="C35" t="str">
            <v>GSL</v>
          </cell>
          <cell r="H35">
            <v>26.040204462534401</v>
          </cell>
          <cell r="I35">
            <v>25.307666796311594</v>
          </cell>
          <cell r="J35">
            <v>19.54993409366147</v>
          </cell>
        </row>
        <row r="36">
          <cell r="A36" t="str">
            <v>RNWWOD1</v>
          </cell>
          <cell r="C36" t="str">
            <v>WOD</v>
          </cell>
          <cell r="H36">
            <v>15.849139756754823</v>
          </cell>
          <cell r="I36">
            <v>16.26639674257331</v>
          </cell>
          <cell r="J36">
            <v>16.95699428453835</v>
          </cell>
        </row>
        <row r="37">
          <cell r="A37" t="str">
            <v>RNWWOD2</v>
          </cell>
          <cell r="C37" t="str">
            <v>WOD</v>
          </cell>
          <cell r="H37">
            <v>7.6690269991885893</v>
          </cell>
          <cell r="I37">
            <v>7.6690270829166804</v>
          </cell>
          <cell r="J37">
            <v>7.6690271544650699</v>
          </cell>
        </row>
        <row r="38">
          <cell r="A38" t="str">
            <v>RNWWOD3</v>
          </cell>
          <cell r="C38" t="str">
            <v>WOD</v>
          </cell>
          <cell r="H38">
            <v>4.8053863553524865</v>
          </cell>
          <cell r="I38">
            <v>4.8053864762240774</v>
          </cell>
          <cell r="J38">
            <v>4.8053862573809001</v>
          </cell>
        </row>
        <row r="39">
          <cell r="A39" t="str">
            <v>RNWWOD4</v>
          </cell>
          <cell r="C39" t="str">
            <v>WOD</v>
          </cell>
          <cell r="H39">
            <v>19.869256854764405</v>
          </cell>
          <cell r="I39">
            <v>19.86925735143193</v>
          </cell>
          <cell r="J39">
            <v>19.869257294997308</v>
          </cell>
        </row>
        <row r="40">
          <cell r="A40" t="str">
            <v>RNWWOD5</v>
          </cell>
          <cell r="C40" t="str">
            <v>WOD</v>
          </cell>
          <cell r="H40">
            <v>0.33756968682452765</v>
          </cell>
          <cell r="I40">
            <v>0.69087307519298502</v>
          </cell>
          <cell r="J40">
            <v>2.7570204968817963E-4</v>
          </cell>
        </row>
        <row r="41">
          <cell r="A41" t="str">
            <v>RNNWWST1</v>
          </cell>
          <cell r="C41" t="str">
            <v>WSTNREN</v>
          </cell>
          <cell r="H41">
            <v>34.937584040026394</v>
          </cell>
          <cell r="I41">
            <v>35.159448323812484</v>
          </cell>
          <cell r="J41">
            <v>35.603175772780908</v>
          </cell>
        </row>
        <row r="42">
          <cell r="A42" t="str">
            <v>RNWSOL1</v>
          </cell>
          <cell r="C42" t="str">
            <v>SOL</v>
          </cell>
          <cell r="H42">
            <v>34.882924874053963</v>
          </cell>
          <cell r="I42">
            <v>36.744751341664646</v>
          </cell>
          <cell r="J42">
            <v>40.532113898265692</v>
          </cell>
        </row>
        <row r="43">
          <cell r="A43" t="str">
            <v>IMPHFO1</v>
          </cell>
          <cell r="C43" t="str">
            <v>HFO</v>
          </cell>
          <cell r="H43">
            <v>1.9514684178969011E-4</v>
          </cell>
          <cell r="I43">
            <v>9.2012590721277923E-5</v>
          </cell>
        </row>
        <row r="44">
          <cell r="A44" t="str">
            <v>RNWHYDD1</v>
          </cell>
          <cell r="C44" t="str">
            <v>HYDD</v>
          </cell>
          <cell r="H44">
            <v>71.044264689717835</v>
          </cell>
          <cell r="I44">
            <v>72.128987484440216</v>
          </cell>
          <cell r="J44">
            <v>74.29872775307409</v>
          </cell>
        </row>
        <row r="45">
          <cell r="A45" t="str">
            <v>IMPKER</v>
          </cell>
          <cell r="C45" t="str">
            <v>KER</v>
          </cell>
          <cell r="H45">
            <v>1.6072519612374747</v>
          </cell>
          <cell r="I45">
            <v>0.69710064721191412</v>
          </cell>
          <cell r="J45">
            <v>2.8694007792370032E-6</v>
          </cell>
        </row>
        <row r="46">
          <cell r="A46" t="str">
            <v>IMPBDS</v>
          </cell>
          <cell r="C46" t="str">
            <v>BDS</v>
          </cell>
          <cell r="H46">
            <v>3.0158010737945959</v>
          </cell>
          <cell r="I46">
            <v>3.015554252505205</v>
          </cell>
          <cell r="J46">
            <v>1.6084236935190843</v>
          </cell>
        </row>
        <row r="47">
          <cell r="A47" t="str">
            <v>IMPCOA1</v>
          </cell>
          <cell r="C47" t="str">
            <v>COA</v>
          </cell>
          <cell r="H47">
            <v>4.1100097937092492E-4</v>
          </cell>
          <cell r="I47">
            <v>7.596573910203059E-5</v>
          </cell>
          <cell r="J47">
            <v>2.8280544849642935E-4</v>
          </cell>
        </row>
        <row r="48">
          <cell r="A48" t="str">
            <v>IMPETH</v>
          </cell>
          <cell r="C48" t="str">
            <v>ETH</v>
          </cell>
          <cell r="H48">
            <v>1.5724147320600286</v>
          </cell>
          <cell r="I48">
            <v>1.4656110311705863</v>
          </cell>
          <cell r="J48">
            <v>1.1321414225150479</v>
          </cell>
        </row>
        <row r="49">
          <cell r="A49" t="str">
            <v>IMPELC_DE</v>
          </cell>
          <cell r="C49" t="str">
            <v>ELC_I-DE</v>
          </cell>
          <cell r="H49">
            <v>38.680421785864873</v>
          </cell>
          <cell r="I49">
            <v>30.481355211719251</v>
          </cell>
          <cell r="J49">
            <v>6.2621735800032923</v>
          </cell>
        </row>
        <row r="50">
          <cell r="A50" t="str">
            <v>IMPELC_DE</v>
          </cell>
          <cell r="C50" t="str">
            <v>ELCS</v>
          </cell>
          <cell r="H50">
            <v>38.680421785864873</v>
          </cell>
          <cell r="I50">
            <v>30.481355211719251</v>
          </cell>
          <cell r="J50">
            <v>6.2621735800032923</v>
          </cell>
        </row>
        <row r="51">
          <cell r="A51" t="str">
            <v>RNWWST1</v>
          </cell>
          <cell r="C51" t="str">
            <v>WSTREN</v>
          </cell>
          <cell r="H51">
            <v>34.100421982221761</v>
          </cell>
          <cell r="I51">
            <v>34.100422017959659</v>
          </cell>
          <cell r="J51">
            <v>34.100422452824148</v>
          </cell>
        </row>
        <row r="52">
          <cell r="A52" t="str">
            <v>IMPNGA1</v>
          </cell>
          <cell r="C52" t="str">
            <v>NGA</v>
          </cell>
          <cell r="H52">
            <v>103.3788407930529</v>
          </cell>
          <cell r="I52">
            <v>96.820407226498915</v>
          </cell>
          <cell r="J52">
            <v>76.245457856863837</v>
          </cell>
        </row>
        <row r="53">
          <cell r="A53" t="str">
            <v>IMPELC_IT</v>
          </cell>
          <cell r="C53" t="str">
            <v>ELC_I-IT</v>
          </cell>
          <cell r="H53">
            <v>3.6480029062034771E-5</v>
          </cell>
          <cell r="I53">
            <v>3.5847919347132382E-5</v>
          </cell>
          <cell r="J53">
            <v>3.0984283415349823E-5</v>
          </cell>
        </row>
        <row r="54">
          <cell r="A54" t="str">
            <v>IMPELC_IT</v>
          </cell>
          <cell r="C54" t="str">
            <v>ELCS</v>
          </cell>
          <cell r="H54">
            <v>3.6480029062034771E-5</v>
          </cell>
          <cell r="I54">
            <v>3.5847919347132382E-5</v>
          </cell>
          <cell r="J54">
            <v>3.0984283415349823E-5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1.2524006024162149</v>
          </cell>
          <cell r="I4">
            <v>1.4566921409481464</v>
          </cell>
          <cell r="J4">
            <v>1.8205268927170397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1.2524006024162149</v>
          </cell>
          <cell r="I5">
            <v>1.4566921409481464</v>
          </cell>
          <cell r="J5">
            <v>1.8205268927170397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5.6772530571453063E-5</v>
          </cell>
          <cell r="I6">
            <v>4.5209509908832226E-5</v>
          </cell>
          <cell r="J6">
            <v>1.1802204367654428E-4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5.6829303102024519E-5</v>
          </cell>
          <cell r="I7">
            <v>4.5254719418741028E-5</v>
          </cell>
          <cell r="J7">
            <v>1.1814006572022077E-4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5.7987216478033543E-5</v>
          </cell>
          <cell r="I8">
            <v>4.6073004770118786E-5</v>
          </cell>
          <cell r="J8">
            <v>1.1944433065351457E-4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3.4598059210689697E-8</v>
          </cell>
          <cell r="I9">
            <v>7.4637205865801601E-6</v>
          </cell>
          <cell r="J9">
            <v>1.3592535504551001E-5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2.04839405567722E-5</v>
          </cell>
          <cell r="I10">
            <v>1.04882978614046E-5</v>
          </cell>
          <cell r="J10">
            <v>1.9023842541066599E-5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13.6569286311456</v>
          </cell>
          <cell r="I11">
            <v>13.4098782222233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0.175984184541288</v>
          </cell>
          <cell r="I12">
            <v>0.17280341195850757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0.18530432335340041</v>
          </cell>
          <cell r="I13">
            <v>0.18195221468416961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7.5728329908405709E-2</v>
          </cell>
          <cell r="I15">
            <v>1.3413198781900247E-2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22.105427932577999</v>
          </cell>
          <cell r="I16">
            <v>27.444652211229499</v>
          </cell>
          <cell r="J16">
            <v>36.209645829587998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0.77493558911919713</v>
          </cell>
          <cell r="I17">
            <v>0.96905865891735676</v>
          </cell>
          <cell r="J17">
            <v>1.2928137922094953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0.39194021157053099</v>
          </cell>
          <cell r="I18">
            <v>0.48660730870974234</v>
          </cell>
          <cell r="J18">
            <v>0.64201499697850928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0.77493558911919713</v>
          </cell>
          <cell r="I19">
            <v>0.96905865891735676</v>
          </cell>
          <cell r="J19">
            <v>1.2928137922094953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1.7213822245243999E-2</v>
          </cell>
          <cell r="I20">
            <v>3.2940076965713501E-2</v>
          </cell>
          <cell r="J20">
            <v>6.3875843121821596E-2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5.6455237624525693E-2</v>
          </cell>
          <cell r="I21">
            <v>7.0809097564170448E-2</v>
          </cell>
          <cell r="J21">
            <v>9.5062898835365894E-2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0.54458246843162206</v>
          </cell>
          <cell r="I22">
            <v>0.54458279864619108</v>
          </cell>
          <cell r="J22">
            <v>0.54458325771367844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0.54458246843162206</v>
          </cell>
          <cell r="I23">
            <v>0.54458279864619108</v>
          </cell>
          <cell r="J23">
            <v>0.54458325771367844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0.73221172226100473</v>
          </cell>
          <cell r="I24">
            <v>0.73016688086640202</v>
          </cell>
          <cell r="J24">
            <v>0.72611101028490466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2.8305823907287499E-2</v>
          </cell>
          <cell r="I25">
            <v>1.25214931095038E-2</v>
          </cell>
          <cell r="J25">
            <v>1.9617738381008599E-2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4.0201666272201168E-2</v>
          </cell>
          <cell r="I26">
            <v>4.0827233906445277E-2</v>
          </cell>
          <cell r="J26">
            <v>4.0677544713036674E-2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6.9201446596506552E-5</v>
          </cell>
          <cell r="I27">
            <v>4.36415123222807E-5</v>
          </cell>
          <cell r="J27">
            <v>7.3532814487640446E-5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5.2885517223313542E-5</v>
          </cell>
          <cell r="I28">
            <v>3.5190391842377393E-5</v>
          </cell>
          <cell r="J28">
            <v>4.0836513300200684E-5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1.1967877585873247E-4</v>
          </cell>
          <cell r="I29">
            <v>7.6622809259020336E-5</v>
          </cell>
          <cell r="J29">
            <v>1.1216432285194307E-4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1.23756237662122</v>
          </cell>
          <cell r="I30">
            <v>1.2541071062603806</v>
          </cell>
          <cell r="J30">
            <v>1.2243522710533961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2.6859650169134457</v>
          </cell>
          <cell r="I31">
            <v>2.6762092461151687</v>
          </cell>
          <cell r="J31">
            <v>2.5183569695743846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2.8658820672109502E-2</v>
          </cell>
          <cell r="I32">
            <v>4.52404119171224E-2</v>
          </cell>
          <cell r="J32">
            <v>3.87297661652342E-2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8.4589111169322384E-2</v>
          </cell>
          <cell r="I33">
            <v>8.5719301088168304E-2</v>
          </cell>
          <cell r="J33">
            <v>8.3684747702980067E-2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3.7206942764017445</v>
          </cell>
          <cell r="I34">
            <v>3.1087192570454154</v>
          </cell>
          <cell r="J34">
            <v>1.9779521567283505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5.0582219413901957</v>
          </cell>
          <cell r="I35">
            <v>4.2016383148489824</v>
          </cell>
          <cell r="J35">
            <v>2.6404278128376282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0.177639458425843</v>
          </cell>
          <cell r="I36">
            <v>7.2839235570812899E-2</v>
          </cell>
          <cell r="J36">
            <v>3.1793683364141199E-2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0.30059076312769312</v>
          </cell>
          <cell r="I37">
            <v>0.2512313874674576</v>
          </cell>
          <cell r="J37">
            <v>0.15979608252879834</v>
          </cell>
          <cell r="L37"/>
          <cell r="M37"/>
          <cell r="N37"/>
        </row>
        <row r="38">
          <cell r="A38" t="str">
            <v>SCOM-SHWODBR</v>
          </cell>
          <cell r="B38" t="str">
            <v>VAR_fout</v>
          </cell>
          <cell r="C38" t="str">
            <v>SCOM-SHWOD</v>
          </cell>
          <cell r="H38">
            <v>5.8479758394967405</v>
          </cell>
          <cell r="I38">
            <v>5.3552813030615116</v>
          </cell>
          <cell r="J38">
            <v>4.6876373476354454</v>
          </cell>
          <cell r="L38"/>
          <cell r="M38"/>
          <cell r="N38"/>
        </row>
        <row r="39">
          <cell r="A39" t="str">
            <v>SCOM-SHWODBR</v>
          </cell>
          <cell r="B39" t="str">
            <v>VAR_fin</v>
          </cell>
          <cell r="C39" t="str">
            <v>SWOD</v>
          </cell>
          <cell r="H39">
            <v>8.623521231914042</v>
          </cell>
          <cell r="I39">
            <v>7.8969857754743131</v>
          </cell>
          <cell r="J39">
            <v>6.8754694810003105</v>
          </cell>
        </row>
        <row r="40">
          <cell r="A40" t="str">
            <v>SCOM-SHWODBR</v>
          </cell>
          <cell r="B40" t="str">
            <v>VAR_ncap</v>
          </cell>
          <cell r="C40" t="str">
            <v>-</v>
          </cell>
          <cell r="H40">
            <v>0.30067024281129701</v>
          </cell>
          <cell r="I40">
            <v>0.115093271783311</v>
          </cell>
          <cell r="J40">
            <v>0.153209139589601</v>
          </cell>
        </row>
        <row r="41">
          <cell r="A41" t="str">
            <v>SCOM-SHWODBR</v>
          </cell>
          <cell r="B41" t="str">
            <v>VAR_cap</v>
          </cell>
          <cell r="C41" t="str">
            <v>-</v>
          </cell>
          <cell r="H41">
            <v>0.45207464695213745</v>
          </cell>
          <cell r="I41">
            <v>0.41576349890691033</v>
          </cell>
          <cell r="J41">
            <v>0.36391801518674444</v>
          </cell>
        </row>
        <row r="42">
          <cell r="A42" t="str">
            <v>ITOT-SWHLTHCHP</v>
          </cell>
          <cell r="B42" t="str">
            <v>VAR_fout</v>
          </cell>
          <cell r="C42" t="str">
            <v>ITOT-SWH</v>
          </cell>
          <cell r="H42">
            <v>6.7655784593331685</v>
          </cell>
          <cell r="I42">
            <v>7.073114129735572</v>
          </cell>
          <cell r="J42">
            <v>9.1334944900755453</v>
          </cell>
        </row>
        <row r="43">
          <cell r="A43" t="str">
            <v>ITOT-SWHLTHCHP</v>
          </cell>
          <cell r="B43" t="str">
            <v>VAR_fin</v>
          </cell>
          <cell r="C43" t="str">
            <v>ITOTLTHCHPC</v>
          </cell>
          <cell r="H43">
            <v>6.7655784593331685</v>
          </cell>
          <cell r="I43">
            <v>7.073114129735572</v>
          </cell>
          <cell r="J43">
            <v>9.1334944900755453</v>
          </cell>
        </row>
        <row r="44">
          <cell r="A44" t="str">
            <v>ITOT-SWHLTHCHP</v>
          </cell>
          <cell r="B44" t="str">
            <v>VAR_fin</v>
          </cell>
          <cell r="C44" t="str">
            <v>ITOT_LTH_CHP_ON</v>
          </cell>
          <cell r="H44">
            <v>7.2025804379705693</v>
          </cell>
          <cell r="I44">
            <v>7.4905054686937271</v>
          </cell>
          <cell r="J44">
            <v>9.6142047263952986</v>
          </cell>
          <cell r="L44"/>
        </row>
        <row r="45">
          <cell r="A45" t="str">
            <v>ITOT-SWHLTHCHP</v>
          </cell>
          <cell r="B45" t="str">
            <v>VAR_ncap</v>
          </cell>
          <cell r="C45" t="str">
            <v>-</v>
          </cell>
          <cell r="H45">
            <v>0.20813406990120301</v>
          </cell>
          <cell r="I45">
            <v>0.155877787531775</v>
          </cell>
          <cell r="J45">
            <v>0.314265733774027</v>
          </cell>
        </row>
        <row r="46">
          <cell r="A46" t="str">
            <v>ITOT-SWHLTHCHP</v>
          </cell>
          <cell r="B46" t="str">
            <v>VAR_cap</v>
          </cell>
          <cell r="C46" t="str">
            <v>-</v>
          </cell>
          <cell r="H46">
            <v>0.39331597192616358</v>
          </cell>
          <cell r="I46">
            <v>0.4092258228697766</v>
          </cell>
          <cell r="J46">
            <v>0.50918653283248705</v>
          </cell>
        </row>
        <row r="47">
          <cell r="A47" t="str">
            <v>RHSA-WHSTG-NGAHP</v>
          </cell>
          <cell r="B47" t="str">
            <v>VAR_fout</v>
          </cell>
          <cell r="C47" t="str">
            <v>RHSA-WHANGAH</v>
          </cell>
          <cell r="H47">
            <v>0.18754939001901455</v>
          </cell>
          <cell r="I47">
            <v>0.2390550113023982</v>
          </cell>
          <cell r="J47">
            <v>0.45165479668997921</v>
          </cell>
        </row>
        <row r="48">
          <cell r="A48" t="str">
            <v>RHSA-WHSTG-NGAHP</v>
          </cell>
          <cell r="B48" t="str">
            <v>VAR_fout</v>
          </cell>
          <cell r="C48" t="str">
            <v>AUX_RHSA-WHSTG-NGAHP_OUT</v>
          </cell>
          <cell r="H48">
            <v>0.18773693940903347</v>
          </cell>
          <cell r="I48">
            <v>0.23929406631370073</v>
          </cell>
          <cell r="J48">
            <v>0.45210645148666861</v>
          </cell>
        </row>
        <row r="49">
          <cell r="A49" t="str">
            <v>RHSA-WHSTG-NGAHP</v>
          </cell>
          <cell r="B49" t="str">
            <v>VAR_fin</v>
          </cell>
          <cell r="C49" t="str">
            <v>RHSA-WHANGAH</v>
          </cell>
          <cell r="H49">
            <v>0.1875518214973402</v>
          </cell>
          <cell r="I49">
            <v>0.23905613684006446</v>
          </cell>
          <cell r="J49">
            <v>0.45165687046539471</v>
          </cell>
        </row>
        <row r="50">
          <cell r="A50" t="str">
            <v>RHSA-WHSTG-NGAHP</v>
          </cell>
          <cell r="B50" t="str">
            <v>VAR_ncap</v>
          </cell>
          <cell r="C50" t="str">
            <v>-</v>
          </cell>
          <cell r="H50">
            <v>1.84310711477618E-2</v>
          </cell>
          <cell r="I50">
            <v>3.2825800826957401E-2</v>
          </cell>
          <cell r="J50">
            <v>6.6378430008004197E-2</v>
          </cell>
        </row>
        <row r="51">
          <cell r="A51" t="str">
            <v>RHSA-WHSTG-NGAHP</v>
          </cell>
          <cell r="B51" t="str">
            <v>VAR_cap</v>
          </cell>
          <cell r="C51" t="str">
            <v>-</v>
          </cell>
          <cell r="H51">
            <v>5.2566464536716456E-2</v>
          </cell>
          <cell r="I51">
            <v>6.7488672797635985E-2</v>
          </cell>
          <cell r="J51">
            <v>9.799035007080821E-2</v>
          </cell>
        </row>
        <row r="52">
          <cell r="A52" t="str">
            <v>D-RES_LTH</v>
          </cell>
          <cell r="B52" t="str">
            <v>VAR_fout</v>
          </cell>
          <cell r="C52" t="str">
            <v>RHNS_LTH_DH</v>
          </cell>
          <cell r="H52">
            <v>9.451408286941184E-3</v>
          </cell>
          <cell r="I52">
            <v>1.1403827214798453E-2</v>
          </cell>
          <cell r="J52">
            <v>1.4095196733192457E-2</v>
          </cell>
        </row>
        <row r="53">
          <cell r="A53" t="str">
            <v>D-RES_LTH</v>
          </cell>
          <cell r="B53" t="str">
            <v>VAR_fout</v>
          </cell>
          <cell r="C53" t="str">
            <v>RHEM_LTH_DH</v>
          </cell>
          <cell r="H53">
            <v>5.5901872588490296</v>
          </cell>
          <cell r="I53">
            <v>5.6305463778301394</v>
          </cell>
          <cell r="J53">
            <v>5.6986072717559955</v>
          </cell>
        </row>
        <row r="54">
          <cell r="A54" t="str">
            <v>D-RES_LTH</v>
          </cell>
          <cell r="B54" t="str">
            <v>VAR_fout</v>
          </cell>
          <cell r="C54" t="str">
            <v>RHES_LTH_DH</v>
          </cell>
          <cell r="H54">
            <v>1.8590874976885687</v>
          </cell>
          <cell r="I54">
            <v>1.8812020489423527</v>
          </cell>
          <cell r="J54">
            <v>1.9165469142371869</v>
          </cell>
        </row>
        <row r="55">
          <cell r="A55" t="str">
            <v>D-RES_LTH</v>
          </cell>
          <cell r="B55" t="str">
            <v>VAR_fout</v>
          </cell>
          <cell r="C55" t="str">
            <v>RHSA_LTH</v>
          </cell>
          <cell r="H55">
            <v>0.2914642975833121</v>
          </cell>
          <cell r="I55">
            <v>0.25191320716002152</v>
          </cell>
          <cell r="J55">
            <v>1.0035699386095305</v>
          </cell>
        </row>
        <row r="56">
          <cell r="A56" t="str">
            <v>D-RES_LTH</v>
          </cell>
          <cell r="B56" t="str">
            <v>VAR_fout</v>
          </cell>
          <cell r="C56" t="str">
            <v>RHNM_LTH_DH</v>
          </cell>
          <cell r="H56">
            <v>0.16560633985251541</v>
          </cell>
          <cell r="I56">
            <v>0.1965331157589281</v>
          </cell>
          <cell r="J56">
            <v>0.24846645048365507</v>
          </cell>
        </row>
        <row r="57">
          <cell r="A57" t="str">
            <v>D-RES_LTH</v>
          </cell>
          <cell r="B57" t="str">
            <v>VAR_fin</v>
          </cell>
          <cell r="C57" t="str">
            <v>LTH</v>
          </cell>
          <cell r="H57">
            <v>8.6661536042691338</v>
          </cell>
          <cell r="I57">
            <v>8.6952811573046613</v>
          </cell>
          <cell r="J57">
            <v>9.6171073503530362</v>
          </cell>
        </row>
        <row r="58">
          <cell r="A58" t="str">
            <v>D-RES_LTH</v>
          </cell>
          <cell r="B58" t="str">
            <v>VAR_ncap</v>
          </cell>
          <cell r="C58" t="str">
            <v>-</v>
          </cell>
          <cell r="H58">
            <v>1.0261129336012899E-8</v>
          </cell>
          <cell r="I58">
            <v>1.40453318339544E-8</v>
          </cell>
          <cell r="J58">
            <v>2.2930079354203899E-8</v>
          </cell>
        </row>
        <row r="59">
          <cell r="A59" t="str">
            <v>D-RES_LTH</v>
          </cell>
          <cell r="B59" t="str">
            <v>VAR_cap</v>
          </cell>
          <cell r="C59" t="str">
            <v>-</v>
          </cell>
          <cell r="H59">
            <v>0.62767213855791903</v>
          </cell>
          <cell r="I59">
            <v>0.62767215260325104</v>
          </cell>
          <cell r="J59">
            <v>0.62767217553332999</v>
          </cell>
        </row>
        <row r="60">
          <cell r="A60" t="str">
            <v>D-RHEM_NKEV_GAS_ELC_CHP</v>
          </cell>
          <cell r="B60" t="str">
            <v>VAR_fout</v>
          </cell>
          <cell r="C60" t="str">
            <v>ELC5</v>
          </cell>
          <cell r="H60">
            <v>2.5313594401460388E-4</v>
          </cell>
          <cell r="I60">
            <v>1.9463285374827149E-4</v>
          </cell>
          <cell r="J60">
            <v>1.1380447061136896E-4</v>
          </cell>
        </row>
        <row r="61">
          <cell r="A61" t="str">
            <v>D-RHEM_NKEV_GAS_ELC_CHP</v>
          </cell>
          <cell r="B61" t="str">
            <v>VAR_fout</v>
          </cell>
          <cell r="C61" t="str">
            <v>RHEM_ELC</v>
          </cell>
          <cell r="H61">
            <v>0.60432347261156716</v>
          </cell>
          <cell r="I61">
            <v>0.88915578450373944</v>
          </cell>
          <cell r="J61">
            <v>0.47535438928818557</v>
          </cell>
        </row>
        <row r="62">
          <cell r="A62" t="str">
            <v>D-RHEM_NKEV_GAS_ELC_CHP</v>
          </cell>
          <cell r="B62" t="str">
            <v>VAR_fin</v>
          </cell>
          <cell r="C62" t="str">
            <v>RHEM_NKEV_GAS_ELC_CHP</v>
          </cell>
          <cell r="H62">
            <v>0.60457660855558215</v>
          </cell>
          <cell r="I62">
            <v>0.88935041735748688</v>
          </cell>
          <cell r="J62">
            <v>0.4754681937587969</v>
          </cell>
        </row>
        <row r="63">
          <cell r="A63" t="str">
            <v>SCOM-SHDEM</v>
          </cell>
          <cell r="B63" t="str">
            <v>VAR_fout</v>
          </cell>
          <cell r="C63" t="str">
            <v>SCOM-SHD</v>
          </cell>
          <cell r="H63">
            <v>61.924942222666346</v>
          </cell>
          <cell r="I63">
            <v>61.439063405136665</v>
          </cell>
          <cell r="J63">
            <v>60.762639377885357</v>
          </cell>
        </row>
        <row r="64">
          <cell r="A64" t="str">
            <v>SCOM-SHDEM</v>
          </cell>
          <cell r="B64" t="str">
            <v>VAR_fin</v>
          </cell>
          <cell r="C64" t="str">
            <v>SCOM-SHCON</v>
          </cell>
          <cell r="H64">
            <v>5.8481934407690686</v>
          </cell>
          <cell r="I64">
            <v>7.5761923729308558</v>
          </cell>
          <cell r="J64">
            <v>10.770331393096653</v>
          </cell>
        </row>
        <row r="65">
          <cell r="A65" t="str">
            <v>SCOM-SHDEM</v>
          </cell>
          <cell r="B65" t="str">
            <v>VAR_fin</v>
          </cell>
          <cell r="C65" t="str">
            <v>SCOM-SHWOD</v>
          </cell>
          <cell r="H65">
            <v>5.8479758394967405</v>
          </cell>
          <cell r="I65">
            <v>5.3552813030615116</v>
          </cell>
          <cell r="J65">
            <v>4.6876373476354454</v>
          </cell>
        </row>
        <row r="66">
          <cell r="A66" t="str">
            <v>SCOM-SHDEM</v>
          </cell>
          <cell r="B66" t="str">
            <v>VAR_fin</v>
          </cell>
          <cell r="C66" t="str">
            <v>SCOM-SHLTHD</v>
          </cell>
          <cell r="H66">
            <v>6.3102878317493678</v>
          </cell>
          <cell r="I66">
            <v>6.594074151399858</v>
          </cell>
          <cell r="J66">
            <v>7.0167788595058829</v>
          </cell>
        </row>
        <row r="67">
          <cell r="A67" t="str">
            <v>SCOM-SHDEM</v>
          </cell>
          <cell r="B67" t="str">
            <v>VAR_fin</v>
          </cell>
          <cell r="C67" t="str">
            <v>SCOM-SHELCB</v>
          </cell>
          <cell r="H67">
            <v>0.28976573562208802</v>
          </cell>
          <cell r="I67">
            <v>0.26295428401216486</v>
          </cell>
          <cell r="J67">
            <v>0.19422977011798501</v>
          </cell>
        </row>
        <row r="68">
          <cell r="A68" t="str">
            <v>SCOM-SHDEM</v>
          </cell>
          <cell r="B68" t="str">
            <v>VAR_fin</v>
          </cell>
          <cell r="C68" t="str">
            <v>SCOM-SHBIO</v>
          </cell>
          <cell r="H68"/>
          <cell r="I68"/>
          <cell r="J68"/>
        </row>
        <row r="69">
          <cell r="A69" t="str">
            <v>SCOM-SHDEM</v>
          </cell>
          <cell r="B69" t="str">
            <v>VAR_fin</v>
          </cell>
          <cell r="C69" t="str">
            <v>SCOM-SHELCH</v>
          </cell>
          <cell r="H69">
            <v>9.6814508531343648</v>
          </cell>
          <cell r="I69">
            <v>11.706590317923187</v>
          </cell>
          <cell r="J69">
            <v>15.908563200993321</v>
          </cell>
        </row>
        <row r="70">
          <cell r="A70" t="str">
            <v>SCOM-SHDEM</v>
          </cell>
          <cell r="B70" t="str">
            <v>VAR_fin</v>
          </cell>
          <cell r="C70" t="str">
            <v>SCOM-SHPLT</v>
          </cell>
          <cell r="H70">
            <v>0.86669638316514996</v>
          </cell>
          <cell r="I70">
            <v>1.0161973327684932</v>
          </cell>
          <cell r="J70">
            <v>1.2444735386213936</v>
          </cell>
        </row>
        <row r="71">
          <cell r="A71" t="str">
            <v>SCOM-SHDEM</v>
          </cell>
          <cell r="B71" t="str">
            <v>VAR_fin</v>
          </cell>
          <cell r="C71" t="str">
            <v>SCOM-SHLTHC-NGA</v>
          </cell>
          <cell r="H71"/>
          <cell r="I71"/>
          <cell r="J71"/>
        </row>
        <row r="72">
          <cell r="A72" t="str">
            <v>SCOM-SHDEM</v>
          </cell>
          <cell r="B72" t="str">
            <v>VAR_fin</v>
          </cell>
          <cell r="C72" t="str">
            <v>SCOM-SHSOL</v>
          </cell>
          <cell r="H72">
            <v>0.68114572354753367</v>
          </cell>
          <cell r="I72">
            <v>0.73462642339432438</v>
          </cell>
          <cell r="J72">
            <v>0.87740651330066721</v>
          </cell>
        </row>
        <row r="73">
          <cell r="A73" t="str">
            <v>SCOM-SHDEM</v>
          </cell>
          <cell r="B73" t="str">
            <v>VAR_fin</v>
          </cell>
          <cell r="C73" t="str">
            <v>SCOM-SHNGA</v>
          </cell>
          <cell r="H73">
            <v>15.165487336225024</v>
          </cell>
          <cell r="I73">
            <v>12.201579817017411</v>
          </cell>
          <cell r="J73">
            <v>7.1474584933491236</v>
          </cell>
        </row>
        <row r="74">
          <cell r="A74" t="str">
            <v>SCOM-SHDEM</v>
          </cell>
          <cell r="B74" t="str">
            <v>VAR_fin</v>
          </cell>
          <cell r="C74" t="str">
            <v>SCOM-SHNGAH</v>
          </cell>
          <cell r="H74">
            <v>4.8093595695933189</v>
          </cell>
          <cell r="I74">
            <v>6.0106619035079225</v>
          </cell>
          <cell r="J74">
            <v>8.6578276159681558</v>
          </cell>
        </row>
        <row r="75">
          <cell r="A75" t="str">
            <v>SCOM-SHDEM</v>
          </cell>
          <cell r="B75" t="str">
            <v>VAR_fin</v>
          </cell>
          <cell r="C75" t="str">
            <v>SCOM-SHLTHC-BIO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H76">
            <v>12.42457950936369</v>
          </cell>
          <cell r="I76">
            <v>9.9809054991209365</v>
          </cell>
          <cell r="J76">
            <v>4.2579321165973321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H77">
            <v>2.6247246119017121E-4</v>
          </cell>
          <cell r="I77">
            <v>1.4698425050693696E-4</v>
          </cell>
          <cell r="J77">
            <v>3.3969774373501338E-4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H78">
            <v>3.1481609750977683E-4</v>
          </cell>
          <cell r="I78">
            <v>1.6824192125638383E-4</v>
          </cell>
          <cell r="J78">
            <v>3.743310221409155E-4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H79">
            <v>5.2322890408603601E-6</v>
          </cell>
          <cell r="I79">
            <v>2.5671721709856701E-5</v>
          </cell>
          <cell r="J79">
            <v>4.6306102022366297E-5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H80">
            <v>2.8360354707286905E-4</v>
          </cell>
          <cell r="I80">
            <v>6.1689203986084207E-5</v>
          </cell>
          <cell r="J80">
            <v>5.9836743556001188E-5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H81">
            <v>5.073675541019472E-3</v>
          </cell>
          <cell r="I81">
            <v>5.0779750709792192E-3</v>
          </cell>
          <cell r="J81">
            <v>5.0792229455774544E-3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H82">
            <v>5.0742992563140108E-3</v>
          </cell>
          <cell r="I82">
            <v>5.0783429192344017E-3</v>
          </cell>
          <cell r="J82">
            <v>5.0796060136373182E-3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H83">
            <v>1.85279005003394E-6</v>
          </cell>
          <cell r="I83">
            <v>8.4260708726599593E-5</v>
          </cell>
          <cell r="J83">
            <v>1.03623887756715E-4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H84">
            <v>1.8908227941178123E-4</v>
          </cell>
          <cell r="I84">
            <v>1.8917993448426795E-4</v>
          </cell>
          <cell r="J84">
            <v>1.8930304234059952E-4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H85">
            <v>5.4907937631594479E-3</v>
          </cell>
          <cell r="I85">
            <v>2.0343498623654221E-3</v>
          </cell>
          <cell r="J85">
            <v>3.3552600265210401E-4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H86">
            <v>8.697036443942187E-6</v>
          </cell>
          <cell r="I86">
            <v>1.7191373232729858E-6</v>
          </cell>
          <cell r="J86">
            <v>1.4144241283860504E-7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H87">
            <v>2.8244137320005791E-3</v>
          </cell>
          <cell r="I87"/>
          <cell r="J87">
            <v>9.1763343869644687E-7</v>
          </cell>
          <cell r="L87"/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H88">
            <v>8.3244514453208098E-3</v>
          </cell>
          <cell r="I88">
            <v>2.0374106843828298E-3</v>
          </cell>
          <cell r="J88">
            <v>3.3713718950474381E-4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H89">
            <v>1.8364065412240321E-4</v>
          </cell>
          <cell r="I89">
            <v>7.596573910203059E-5</v>
          </cell>
          <cell r="J89">
            <v>2.8280544849642935E-4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H90">
            <v>1.70234886371468E-2</v>
          </cell>
          <cell r="I90">
            <v>7.0420240147582398E-3</v>
          </cell>
          <cell r="J90">
            <v>2.6216065075619001E-2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H91">
            <v>1.8364065412240321E-4</v>
          </cell>
          <cell r="I91">
            <v>7.596573910203059E-5</v>
          </cell>
          <cell r="J91">
            <v>2.8280544849642935E-4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H92">
            <v>2.4349789565526452</v>
          </cell>
          <cell r="I92">
            <v>2.7083741813719437</v>
          </cell>
          <cell r="J92">
            <v>4.2470221814374591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H93">
            <v>2.4349789565526452</v>
          </cell>
          <cell r="I93">
            <v>2.7083741813719437</v>
          </cell>
          <cell r="J93">
            <v>4.2470221814374591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H94">
            <v>8.1505314085054695E-2</v>
          </cell>
          <cell r="I94">
            <v>1.93052989968471E-2</v>
          </cell>
          <cell r="J94">
            <v>0.13400784909293301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H95">
            <v>0.17194222249382399</v>
          </cell>
          <cell r="I95">
            <v>0.19124752149067101</v>
          </cell>
          <cell r="J95">
            <v>0.29989707061413401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H96">
            <v>5.0773841876652305E-3</v>
          </cell>
          <cell r="I96">
            <v>4.7028777442015956E-3</v>
          </cell>
          <cell r="J96">
            <v>3.895915892969057E-3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H97">
            <v>5.3881074257025553E-3</v>
          </cell>
          <cell r="I97">
            <v>4.9906821227479374E-3</v>
          </cell>
          <cell r="J97">
            <v>4.1124134144191653E-3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H98">
            <v>3.6615043137278502E-6</v>
          </cell>
          <cell r="I98">
            <v>3.6011945112766002E-4</v>
          </cell>
          <cell r="J98">
            <v>1.9627714700048899E-5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H99">
            <v>4.3653854972984518E-4</v>
          </cell>
          <cell r="I99">
            <v>3.6365792240527275E-4</v>
          </cell>
          <cell r="J99">
            <v>2.8228924309082473E-4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H100"/>
          <cell r="I100"/>
          <cell r="J100"/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H101"/>
          <cell r="I101"/>
          <cell r="J101"/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H102"/>
          <cell r="I102"/>
          <cell r="J102"/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H103">
            <v>5.6571828574247503E-3</v>
          </cell>
          <cell r="I103">
            <v>3.5962127941461001E-3</v>
          </cell>
          <cell r="J103">
            <v>2.5767987517584501E-3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H104">
            <v>1.0451198714743291E-2</v>
          </cell>
          <cell r="I104">
            <v>9.0097194158382798E-3</v>
          </cell>
          <cell r="J104">
            <v>4.8785851834363897E-3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H105">
            <v>2.232344850738321</v>
          </cell>
          <cell r="I105">
            <v>4.0246261647011963</v>
          </cell>
          <cell r="J105">
            <v>6.6148258314580346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H106">
            <v>2.232344850738321</v>
          </cell>
          <cell r="I106">
            <v>4.0246261647011963</v>
          </cell>
          <cell r="J106">
            <v>6.6148258314580346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H107">
            <v>7.1809001129677197E-2</v>
          </cell>
          <cell r="I107">
            <v>0.126559241174835</v>
          </cell>
          <cell r="J107">
            <v>0.22239932301106499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H108">
            <v>0.157633518711943</v>
          </cell>
          <cell r="I108">
            <v>0.284192759886778</v>
          </cell>
          <cell r="J108">
            <v>0.46709603984268999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H109">
            <v>1.1618213736661127</v>
          </cell>
          <cell r="I109">
            <v>0.71371158914922261</v>
          </cell>
          <cell r="J109">
            <v>4.9911290130643976E-4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H110">
            <v>1.7485097455230455E-4</v>
          </cell>
          <cell r="I110"/>
          <cell r="J110">
            <v>4.3117609968329858E-4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H111">
            <v>2.7430762493246174E-4</v>
          </cell>
          <cell r="I111"/>
          <cell r="J111"/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H112">
            <v>2.0051329317921316E-5</v>
          </cell>
          <cell r="I112"/>
          <cell r="J112"/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H113">
            <v>8.8069146259871808E-7</v>
          </cell>
          <cell r="I113">
            <v>4.1782613505453051E-5</v>
          </cell>
          <cell r="J113"/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H114">
            <v>0.55443788505338254</v>
          </cell>
          <cell r="I114">
            <v>0.6091109316920329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H115">
            <v>0.60380673029265697</v>
          </cell>
          <cell r="I115">
            <v>0.10441645175234091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H116">
            <v>2.8244137320005791E-3</v>
          </cell>
          <cell r="I116"/>
          <cell r="J116">
            <v>9.1763343869644687E-7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H117">
            <v>2.8225396780697025E-4</v>
          </cell>
          <cell r="I117">
            <v>1.4242309134288375E-4</v>
          </cell>
          <cell r="J117">
            <v>6.7019168184444497E-5</v>
          </cell>
        </row>
        <row r="118">
          <cell r="A118" t="str">
            <v>RHEM-SHLTHCHPWOD</v>
          </cell>
          <cell r="B118" t="str">
            <v>VAR_ncap</v>
          </cell>
          <cell r="C118" t="str">
            <v>-</v>
          </cell>
          <cell r="H118">
            <v>2.5171367524205602E-5</v>
          </cell>
          <cell r="I118">
            <v>1.41448249378767E-5</v>
          </cell>
          <cell r="J118">
            <v>2.57762171136151E-5</v>
          </cell>
        </row>
        <row r="119">
          <cell r="A119" t="str">
            <v>RHEM-SHLTHCHPWOD</v>
          </cell>
          <cell r="B119" t="str">
            <v>VAR_cap</v>
          </cell>
          <cell r="C119" t="str">
            <v>-</v>
          </cell>
          <cell r="H119">
            <v>3.4171551285117696E-5</v>
          </cell>
          <cell r="I119">
            <v>2.6512818884205704E-5</v>
          </cell>
          <cell r="J119">
            <v>3.23911716098663E-5</v>
          </cell>
        </row>
        <row r="120">
          <cell r="A120" t="str">
            <v>D-RHEM_LTH_CHPWOD</v>
          </cell>
          <cell r="B120" t="str">
            <v>VAR_fout</v>
          </cell>
          <cell r="C120" t="str">
            <v>RHEM_LTH_CHPWOD_ON</v>
          </cell>
          <cell r="H120">
            <v>1.7485097455230455E-4</v>
          </cell>
          <cell r="I120"/>
          <cell r="J120">
            <v>4.3117609968329858E-4</v>
          </cell>
        </row>
        <row r="121">
          <cell r="A121" t="str">
            <v>D-RHEM_LTH_CHPWOD</v>
          </cell>
          <cell r="B121" t="str">
            <v>VAR_fout</v>
          </cell>
          <cell r="C121" t="str">
            <v>RHSA_LTH</v>
          </cell>
          <cell r="H121">
            <v>2.3351564064366814E-4</v>
          </cell>
          <cell r="I121">
            <v>1.5762683293997392E-4</v>
          </cell>
          <cell r="J121">
            <v>1.1090967500713502E-4</v>
          </cell>
        </row>
        <row r="122">
          <cell r="A122" t="str">
            <v>D-RHEM_LTH_CHPWOD</v>
          </cell>
          <cell r="B122" t="str">
            <v>VAR_fin</v>
          </cell>
          <cell r="C122" t="str">
            <v>RHEM_LTH_CHPWOD</v>
          </cell>
          <cell r="H122">
            <v>4.0879254885443716E-4</v>
          </cell>
          <cell r="I122">
            <v>1.5786185059408418E-4</v>
          </cell>
          <cell r="J122">
            <v>5.4316821914058243E-4</v>
          </cell>
        </row>
        <row r="123">
          <cell r="A123" t="str">
            <v>RHES-SHLTHDH</v>
          </cell>
          <cell r="B123" t="str">
            <v>VAR_fout</v>
          </cell>
          <cell r="C123" t="str">
            <v>RHES-SHLTHD</v>
          </cell>
          <cell r="H123">
            <v>1.6781848146428713</v>
          </cell>
          <cell r="I123">
            <v>1.7039580944554193</v>
          </cell>
          <cell r="J123">
            <v>1.7484803401386595</v>
          </cell>
        </row>
        <row r="124">
          <cell r="A124" t="str">
            <v>RHES-SHLTHDH</v>
          </cell>
          <cell r="B124" t="str">
            <v>VAR_fin</v>
          </cell>
          <cell r="C124" t="str">
            <v>RHESLTHDHC</v>
          </cell>
          <cell r="H124">
            <v>1.6781848146428713</v>
          </cell>
          <cell r="I124">
            <v>1.7039580944554193</v>
          </cell>
          <cell r="J124">
            <v>1.7484803401386595</v>
          </cell>
        </row>
        <row r="125">
          <cell r="A125" t="str">
            <v>RHES-SHLTHDH</v>
          </cell>
          <cell r="B125" t="str">
            <v>VAR_fin</v>
          </cell>
          <cell r="C125" t="str">
            <v>RHES_LTH_DH</v>
          </cell>
          <cell r="H125">
            <v>1.8590874976885687</v>
          </cell>
          <cell r="I125">
            <v>1.8812020489423527</v>
          </cell>
          <cell r="J125">
            <v>1.9165469142371869</v>
          </cell>
        </row>
        <row r="126">
          <cell r="A126" t="str">
            <v>RHES-SHLTHDH</v>
          </cell>
          <cell r="B126" t="str">
            <v>VAR_ncap</v>
          </cell>
          <cell r="C126" t="str">
            <v>-</v>
          </cell>
          <cell r="H126">
            <v>7.3490218122723699E-3</v>
          </cell>
          <cell r="I126">
            <v>4.1150682459876698E-3</v>
          </cell>
          <cell r="J126">
            <v>1.8754864115837499E-2</v>
          </cell>
        </row>
        <row r="127">
          <cell r="A127" t="str">
            <v>RHES-SHLTHDH</v>
          </cell>
          <cell r="B127" t="str">
            <v>VAR_cap</v>
          </cell>
          <cell r="C127" t="str">
            <v>-</v>
          </cell>
          <cell r="H127">
            <v>0.15161287083146632</v>
          </cell>
          <cell r="I127">
            <v>0.14284149822864906</v>
          </cell>
          <cell r="J127">
            <v>0.15473481206924952</v>
          </cell>
        </row>
        <row r="128">
          <cell r="A128" t="str">
            <v>RHEM-SHCONBR3</v>
          </cell>
          <cell r="B128" t="str">
            <v>VAR_fout</v>
          </cell>
          <cell r="C128" t="str">
            <v>RHEM-SHCON</v>
          </cell>
          <cell r="H128">
            <v>0.97662938212237993</v>
          </cell>
          <cell r="I128">
            <v>0.97663107024690332</v>
          </cell>
          <cell r="J128">
            <v>1.4439555039887539</v>
          </cell>
        </row>
        <row r="129">
          <cell r="A129" t="str">
            <v>RHEM-SHCONBR3</v>
          </cell>
          <cell r="B129" t="str">
            <v>VAR_fin</v>
          </cell>
          <cell r="C129" t="str">
            <v>CON</v>
          </cell>
          <cell r="H129">
            <v>0.97662938212237993</v>
          </cell>
          <cell r="I129">
            <v>0.97663107024690332</v>
          </cell>
          <cell r="J129">
            <v>1.4439555039887539</v>
          </cell>
          <cell r="L129"/>
          <cell r="M129"/>
          <cell r="N129"/>
        </row>
        <row r="130">
          <cell r="A130" t="str">
            <v>RHEM-SHCONBR3</v>
          </cell>
          <cell r="B130" t="str">
            <v>VAR_ncap</v>
          </cell>
          <cell r="C130" t="str">
            <v>-</v>
          </cell>
          <cell r="H130"/>
          <cell r="I130">
            <v>1.4840556023353001E-8</v>
          </cell>
          <cell r="J130">
            <v>6.4735809898448807E-2</v>
          </cell>
        </row>
        <row r="131">
          <cell r="A131" t="str">
            <v>RHEM-SHCONBR3</v>
          </cell>
          <cell r="B131" t="str">
            <v>VAR_cap</v>
          </cell>
          <cell r="C131" t="str">
            <v>-</v>
          </cell>
          <cell r="H131">
            <v>6.8962939715253302E-2</v>
          </cell>
          <cell r="I131">
            <v>6.8962954555809294E-2</v>
          </cell>
          <cell r="J131">
            <v>0.101962237738369</v>
          </cell>
        </row>
        <row r="132">
          <cell r="A132" t="str">
            <v>D-RHSA_ELC</v>
          </cell>
          <cell r="B132" t="str">
            <v>VAR_fout</v>
          </cell>
          <cell r="C132" t="str">
            <v>RHSA_ELC</v>
          </cell>
          <cell r="H132">
            <v>58.547871424217078</v>
          </cell>
          <cell r="I132">
            <v>58.965494168830091</v>
          </cell>
          <cell r="J132">
            <v>58.986310512869508</v>
          </cell>
        </row>
        <row r="133">
          <cell r="A133" t="str">
            <v>D-RHSA_ELC</v>
          </cell>
          <cell r="B133" t="str">
            <v>VAR_fin</v>
          </cell>
          <cell r="C133" t="str">
            <v>RHNS_ELC</v>
          </cell>
          <cell r="H133">
            <v>14.326223438154104</v>
          </cell>
          <cell r="I133">
            <v>14.263325950375393</v>
          </cell>
          <cell r="J133">
            <v>14.28027561715481</v>
          </cell>
        </row>
        <row r="134">
          <cell r="A134" t="str">
            <v>D-RHSA_ELC</v>
          </cell>
          <cell r="B134" t="str">
            <v>VAR_fin</v>
          </cell>
          <cell r="C134" t="str">
            <v>RHES_ELC</v>
          </cell>
          <cell r="H134">
            <v>14.309066086691894</v>
          </cell>
          <cell r="I134">
            <v>14.569135888145377</v>
          </cell>
          <cell r="J134">
            <v>15.002968470771318</v>
          </cell>
        </row>
        <row r="135">
          <cell r="A135" t="str">
            <v>D-RHSA_ELC</v>
          </cell>
          <cell r="B135" t="str">
            <v>VAR_fin</v>
          </cell>
          <cell r="C135" t="str">
            <v>RHNM_ELC</v>
          </cell>
          <cell r="H135">
            <v>15.856148277365044</v>
          </cell>
          <cell r="I135">
            <v>16.030715691903307</v>
          </cell>
          <cell r="J135">
            <v>15.900657229562862</v>
          </cell>
        </row>
        <row r="136">
          <cell r="A136" t="str">
            <v>D-RHSA_ELC</v>
          </cell>
          <cell r="B136" t="str">
            <v>VAR_fin</v>
          </cell>
          <cell r="C136" t="str">
            <v>RHEM_ELC</v>
          </cell>
          <cell r="H136">
            <v>14.056440124826027</v>
          </cell>
          <cell r="I136">
            <v>14.102323583062589</v>
          </cell>
          <cell r="J136">
            <v>13.80241521903441</v>
          </cell>
        </row>
        <row r="137">
          <cell r="A137" t="str">
            <v>SCOM-SHLTHDH</v>
          </cell>
          <cell r="B137" t="str">
            <v>VAR_fout</v>
          </cell>
          <cell r="C137" t="str">
            <v>SCOM-SHLTHD</v>
          </cell>
          <cell r="H137">
            <v>6.3102878317493678</v>
          </cell>
          <cell r="I137">
            <v>6.594074151399858</v>
          </cell>
          <cell r="J137">
            <v>7.0167788595058829</v>
          </cell>
        </row>
        <row r="138">
          <cell r="A138" t="str">
            <v>SCOM-SHLTHDH</v>
          </cell>
          <cell r="B138" t="str">
            <v>VAR_fin</v>
          </cell>
          <cell r="C138" t="str">
            <v>SCOMLTHDHC</v>
          </cell>
          <cell r="H138">
            <v>6.3102878317493678</v>
          </cell>
          <cell r="I138">
            <v>6.594074151399858</v>
          </cell>
          <cell r="J138">
            <v>7.0167788595058829</v>
          </cell>
        </row>
        <row r="139">
          <cell r="A139" t="str">
            <v>SCOM-SHLTHDH</v>
          </cell>
          <cell r="B139" t="str">
            <v>VAR_fin</v>
          </cell>
          <cell r="C139" t="str">
            <v>SCOM_LTH_DH</v>
          </cell>
          <cell r="H139">
            <v>7.6331252036777171</v>
          </cell>
          <cell r="I139">
            <v>7.976402177207234</v>
          </cell>
          <cell r="J139">
            <v>8.4877192592780926</v>
          </cell>
        </row>
        <row r="140">
          <cell r="A140" t="str">
            <v>SCOM-SHLTHDH</v>
          </cell>
          <cell r="B140" t="str">
            <v>VAR_ncap</v>
          </cell>
          <cell r="C140" t="str">
            <v>-</v>
          </cell>
          <cell r="H140">
            <v>0.49644163532569702</v>
          </cell>
          <cell r="I140">
            <v>0.215558140803568</v>
          </cell>
          <cell r="J140">
            <v>0.489365335168432</v>
          </cell>
        </row>
        <row r="141">
          <cell r="A141" t="str">
            <v>SCOM-SHLTHDH</v>
          </cell>
          <cell r="B141" t="str">
            <v>VAR_cap</v>
          </cell>
          <cell r="C141" t="str">
            <v>-</v>
          </cell>
          <cell r="H141">
            <v>0.84969996065017295</v>
          </cell>
          <cell r="I141">
            <v>0.84969992547787176</v>
          </cell>
          <cell r="J141">
            <v>0.84970007708743167</v>
          </cell>
        </row>
        <row r="142">
          <cell r="A142" t="str">
            <v>ITOT-SWHSTG-ELC</v>
          </cell>
          <cell r="B142" t="str">
            <v>VAR_fout</v>
          </cell>
          <cell r="C142" t="str">
            <v>ITOT-SWHAELC</v>
          </cell>
          <cell r="H142">
            <v>3.878646628323305E-4</v>
          </cell>
          <cell r="I142">
            <v>1.9545781815003604E-4</v>
          </cell>
          <cell r="J142">
            <v>0.44096219994687952</v>
          </cell>
        </row>
        <row r="143">
          <cell r="A143" t="str">
            <v>ITOT-SWHSTG-ELC</v>
          </cell>
          <cell r="B143" t="str">
            <v>VAR_fin</v>
          </cell>
          <cell r="C143" t="str">
            <v>ITOT-SWHAELC</v>
          </cell>
          <cell r="H143">
            <v>4.8826136743119325E-4</v>
          </cell>
          <cell r="I143">
            <v>2.3738947325612948E-4</v>
          </cell>
          <cell r="J143">
            <v>0.48999716937264887</v>
          </cell>
        </row>
        <row r="144">
          <cell r="A144" t="str">
            <v>ITOT-SWHSTG-ELC</v>
          </cell>
          <cell r="B144" t="str">
            <v>VAR_ncap</v>
          </cell>
          <cell r="C144" t="str">
            <v>-</v>
          </cell>
          <cell r="H144">
            <v>8.4470791548957494E-2</v>
          </cell>
          <cell r="I144">
            <v>0.121155244691629</v>
          </cell>
          <cell r="J144">
            <v>9.1252121593557903E-2</v>
          </cell>
        </row>
        <row r="145">
          <cell r="A145" t="str">
            <v>ITOT-SWHSTG-ELC</v>
          </cell>
          <cell r="B145" t="str">
            <v>VAR_cap</v>
          </cell>
          <cell r="C145" t="str">
            <v>-</v>
          </cell>
          <cell r="H145">
            <v>0.19904739612961078</v>
          </cell>
          <cell r="I145">
            <v>0.21077431076552419</v>
          </cell>
          <cell r="J145">
            <v>0.21490868602889993</v>
          </cell>
        </row>
        <row r="146">
          <cell r="A146" t="str">
            <v>D-SCOM_SOLELC</v>
          </cell>
          <cell r="B146" t="str">
            <v>VAR_fout</v>
          </cell>
          <cell r="C146" t="str">
            <v>ELC5</v>
          </cell>
          <cell r="H146">
            <v>1.5691630457007755E-4</v>
          </cell>
          <cell r="I146">
            <v>1.2660637802319689E-2</v>
          </cell>
          <cell r="J146">
            <v>7.0301659300317821E-5</v>
          </cell>
        </row>
        <row r="147">
          <cell r="A147" t="str">
            <v>D-SCOM_SOLELC</v>
          </cell>
          <cell r="B147" t="str">
            <v>VAR_fout</v>
          </cell>
          <cell r="C147" t="str">
            <v>SCOM_ELC</v>
          </cell>
          <cell r="H147">
            <v>11.285263280381107</v>
          </cell>
          <cell r="I147">
            <v>11.848455218254557</v>
          </cell>
          <cell r="J147">
            <v>13.101963810537935</v>
          </cell>
        </row>
        <row r="148">
          <cell r="A148" t="str">
            <v>D-SCOM_SOLELC</v>
          </cell>
          <cell r="B148" t="str">
            <v>VAR_fin</v>
          </cell>
          <cell r="C148" t="str">
            <v>SCOM_SOL_ELC</v>
          </cell>
          <cell r="H148">
            <v>11.285420196685671</v>
          </cell>
          <cell r="I148">
            <v>11.861115856056879</v>
          </cell>
          <cell r="J148">
            <v>13.102034112197229</v>
          </cell>
        </row>
        <row r="149">
          <cell r="A149" t="str">
            <v>D-ILFO</v>
          </cell>
          <cell r="B149" t="str">
            <v>VAR_fout</v>
          </cell>
          <cell r="C149" t="str">
            <v>CO2</v>
          </cell>
          <cell r="H149">
            <v>431.732480603189</v>
          </cell>
          <cell r="I149">
            <v>266.45775755813497</v>
          </cell>
          <cell r="J149">
            <v>25.4445442518094</v>
          </cell>
        </row>
        <row r="150">
          <cell r="A150" t="str">
            <v>D-ILFO</v>
          </cell>
          <cell r="B150" t="str">
            <v>VAR_fout</v>
          </cell>
          <cell r="C150" t="str">
            <v>ILFO</v>
          </cell>
          <cell r="H150">
            <v>5.7603041335006058</v>
          </cell>
          <cell r="I150">
            <v>3.5552237047895496</v>
          </cell>
          <cell r="J150">
            <v>0.33964706912713727</v>
          </cell>
        </row>
        <row r="151">
          <cell r="A151" t="str">
            <v>D-ILFO</v>
          </cell>
          <cell r="B151" t="str">
            <v>VAR_fin</v>
          </cell>
          <cell r="C151" t="str">
            <v>LFO</v>
          </cell>
          <cell r="H151">
            <v>5.8579712429197954</v>
          </cell>
          <cell r="I151">
            <v>3.6154376873559686</v>
          </cell>
          <cell r="J151">
            <v>0.34524483381016835</v>
          </cell>
        </row>
        <row r="152">
          <cell r="A152" t="str">
            <v>D-ILFO</v>
          </cell>
          <cell r="B152" t="str">
            <v>VAR_fin</v>
          </cell>
          <cell r="C152" t="str">
            <v>BDS</v>
          </cell>
          <cell r="H152">
            <v>1.7086472271224892E-4</v>
          </cell>
          <cell r="I152">
            <v>1.7107120775942527E-4</v>
          </cell>
          <cell r="J152">
            <v>1.7117915497772977E-4</v>
          </cell>
        </row>
        <row r="153">
          <cell r="A153" t="str">
            <v>RHEM-SHSTG-NGAHP</v>
          </cell>
          <cell r="B153" t="str">
            <v>VAR_fout</v>
          </cell>
          <cell r="C153" t="str">
            <v>AUX_RHEM-SHSTG-NGAHP_OUT</v>
          </cell>
          <cell r="H153">
            <v>0.58731030903710901</v>
          </cell>
          <cell r="I153">
            <v>0.68711042027753999</v>
          </cell>
          <cell r="J153">
            <v>0.82460397504583494</v>
          </cell>
        </row>
        <row r="154">
          <cell r="A154" t="str">
            <v>RHEM-SHSTG-NGAHP</v>
          </cell>
          <cell r="B154" t="str">
            <v>VAR_fout</v>
          </cell>
          <cell r="C154" t="str">
            <v>RHEM-SHANGAH</v>
          </cell>
          <cell r="H154">
            <v>0.58672358545165737</v>
          </cell>
          <cell r="I154">
            <v>0.68642399628125883</v>
          </cell>
          <cell r="J154">
            <v>0.82378019485098353</v>
          </cell>
        </row>
        <row r="155">
          <cell r="A155" t="str">
            <v>RHEM-SHSTG-NGAHP</v>
          </cell>
          <cell r="B155" t="str">
            <v>VAR_fin</v>
          </cell>
          <cell r="C155" t="str">
            <v>RHEM-SHANGAH</v>
          </cell>
          <cell r="H155">
            <v>0.58672947988238222</v>
          </cell>
          <cell r="I155">
            <v>0.686429443397642</v>
          </cell>
          <cell r="J155">
            <v>0.82378560679386625</v>
          </cell>
        </row>
        <row r="156">
          <cell r="A156" t="str">
            <v>RHEM-SHSTG-NGAHP</v>
          </cell>
          <cell r="B156" t="str">
            <v>VAR_ncap</v>
          </cell>
          <cell r="C156" t="str">
            <v>-</v>
          </cell>
          <cell r="H156">
            <v>2.34359517766673E-2</v>
          </cell>
          <cell r="I156">
            <v>5.8374400548619802E-2</v>
          </cell>
          <cell r="J156">
            <v>9.9869005214724305E-2</v>
          </cell>
        </row>
        <row r="157">
          <cell r="A157" t="str">
            <v>RHEM-SHSTG-NGAHP</v>
          </cell>
          <cell r="B157" t="str">
            <v>VAR_cap</v>
          </cell>
          <cell r="C157" t="str">
            <v>-</v>
          </cell>
          <cell r="H157">
            <v>9.3346468143854666E-2</v>
          </cell>
          <cell r="I157">
            <v>0.11286246436842004</v>
          </cell>
          <cell r="J157">
            <v>0.15213794373523615</v>
          </cell>
        </row>
        <row r="158">
          <cell r="A158" t="str">
            <v>RHEM-SHCONBR4</v>
          </cell>
          <cell r="B158" t="str">
            <v>VAR_fout</v>
          </cell>
          <cell r="C158" t="str">
            <v>RHEM-SHCON</v>
          </cell>
          <cell r="H158">
            <v>1.0738778336972903</v>
          </cell>
          <cell r="I158">
            <v>1.073879369897992</v>
          </cell>
          <cell r="J158">
            <v>0.57968985178536669</v>
          </cell>
        </row>
        <row r="159">
          <cell r="A159" t="str">
            <v>RHEM-SHCONBR4</v>
          </cell>
          <cell r="B159" t="str">
            <v>VAR_fin</v>
          </cell>
          <cell r="C159" t="str">
            <v>CON</v>
          </cell>
          <cell r="H159">
            <v>1.0738778336972903</v>
          </cell>
          <cell r="I159">
            <v>1.073879369897992</v>
          </cell>
          <cell r="J159">
            <v>0.57968985178536669</v>
          </cell>
        </row>
        <row r="160">
          <cell r="A160" t="str">
            <v>RHEM-SHCONBR4</v>
          </cell>
          <cell r="B160" t="str">
            <v>VAR_ncap</v>
          </cell>
          <cell r="C160" t="str">
            <v>-</v>
          </cell>
          <cell r="H160"/>
          <cell r="I160"/>
          <cell r="J160">
            <v>1.79632701950271E-8</v>
          </cell>
        </row>
        <row r="161">
          <cell r="A161" t="str">
            <v>RHEM-SHCONBR4</v>
          </cell>
          <cell r="B161" t="str">
            <v>VAR_cap</v>
          </cell>
          <cell r="C161" t="str">
            <v>-</v>
          </cell>
          <cell r="H161">
            <v>7.5829997686599496E-2</v>
          </cell>
          <cell r="I161">
            <v>7.5829997686599496E-2</v>
          </cell>
          <cell r="J161">
            <v>4.0933366821510102E-2</v>
          </cell>
        </row>
        <row r="162">
          <cell r="A162" t="str">
            <v>RHNM-SHCONBR</v>
          </cell>
          <cell r="B162" t="str">
            <v>VAR_fout</v>
          </cell>
          <cell r="C162" t="str">
            <v>RHNM-SHCON</v>
          </cell>
          <cell r="H162">
            <v>2.2321684840756063E-4</v>
          </cell>
          <cell r="I162">
            <v>9.2906883970256156E-3</v>
          </cell>
          <cell r="J162">
            <v>0.13175197357571369</v>
          </cell>
        </row>
        <row r="163">
          <cell r="A163" t="str">
            <v>RHNM-SHCONBR</v>
          </cell>
          <cell r="B163" t="str">
            <v>VAR_fin</v>
          </cell>
          <cell r="C163" t="str">
            <v>CON</v>
          </cell>
          <cell r="H163">
            <v>2.2321684840756063E-4</v>
          </cell>
          <cell r="I163">
            <v>9.2906883970256156E-3</v>
          </cell>
          <cell r="J163">
            <v>0.13175197357571369</v>
          </cell>
        </row>
        <row r="164">
          <cell r="A164" t="str">
            <v>RHNM-SHCONBR</v>
          </cell>
          <cell r="B164" t="str">
            <v>VAR_ncap</v>
          </cell>
          <cell r="C164" t="str">
            <v>-</v>
          </cell>
          <cell r="H164">
            <v>1.4309295161149299E-8</v>
          </cell>
          <cell r="I164">
            <v>7.0285858148644396E-4</v>
          </cell>
          <cell r="J164">
            <v>9.4916560100695192E-3</v>
          </cell>
        </row>
        <row r="165">
          <cell r="A165" t="str">
            <v>RHNM-SHCONBR</v>
          </cell>
          <cell r="B165" t="str">
            <v>VAR_cap</v>
          </cell>
          <cell r="C165" t="str">
            <v>-</v>
          </cell>
          <cell r="H165">
            <v>1.5964881365756899E-5</v>
          </cell>
          <cell r="I165">
            <v>7.1882346285220096E-4</v>
          </cell>
          <cell r="J165">
            <v>1.02104794729217E-2</v>
          </cell>
        </row>
        <row r="166">
          <cell r="A166" t="str">
            <v>RHEM-SHCONBR5</v>
          </cell>
          <cell r="B166" t="str">
            <v>VAR_fout</v>
          </cell>
          <cell r="C166" t="str">
            <v>RHEM-SHCON</v>
          </cell>
          <cell r="H166">
            <v>0.59574007500620918</v>
          </cell>
          <cell r="I166">
            <v>0.59574158109201913</v>
          </cell>
          <cell r="J166">
            <v>0.34440188790560106</v>
          </cell>
        </row>
        <row r="167">
          <cell r="A167" t="str">
            <v>RHEM-SHCONBR5</v>
          </cell>
          <cell r="B167" t="str">
            <v>VAR_fin</v>
          </cell>
          <cell r="C167" t="str">
            <v>CON</v>
          </cell>
          <cell r="H167">
            <v>0.59574007500620918</v>
          </cell>
          <cell r="I167">
            <v>0.59574158109201913</v>
          </cell>
          <cell r="J167">
            <v>0.34440188790560106</v>
          </cell>
        </row>
        <row r="168">
          <cell r="A168" t="str">
            <v>RHEM-SHCONBR5</v>
          </cell>
          <cell r="B168" t="str">
            <v>VAR_ncap</v>
          </cell>
          <cell r="C168" t="str">
            <v>-</v>
          </cell>
          <cell r="H168"/>
          <cell r="I168"/>
          <cell r="J168">
            <v>1.3855924647778301E-8</v>
          </cell>
        </row>
        <row r="169">
          <cell r="A169" t="str">
            <v>RHEM-SHCONBR5</v>
          </cell>
          <cell r="B169" t="str">
            <v>VAR_cap</v>
          </cell>
          <cell r="C169" t="str">
            <v>-</v>
          </cell>
          <cell r="H169">
            <v>4.2066988972816702E-2</v>
          </cell>
          <cell r="I169">
            <v>4.2066988972816702E-2</v>
          </cell>
          <cell r="J169">
            <v>2.4318849415109901E-2</v>
          </cell>
        </row>
        <row r="170">
          <cell r="A170" t="str">
            <v>ITOT-SWHNGABR</v>
          </cell>
          <cell r="B170" t="str">
            <v>VAR_fout</v>
          </cell>
          <cell r="C170" t="str">
            <v>ITOT-SWH</v>
          </cell>
          <cell r="H170">
            <v>22.561064501736773</v>
          </cell>
          <cell r="I170">
            <v>23.72795711768282</v>
          </cell>
          <cell r="J170">
            <v>22.163292356464034</v>
          </cell>
        </row>
        <row r="171">
          <cell r="A171" t="str">
            <v>ITOT-SWHNGABR</v>
          </cell>
          <cell r="B171" t="str">
            <v>VAR_fout</v>
          </cell>
          <cell r="C171" t="str">
            <v>CO2_I</v>
          </cell>
          <cell r="H171">
            <v>1570.36019650341</v>
          </cell>
          <cell r="I171">
            <v>1647.9988814379201</v>
          </cell>
          <cell r="J171">
            <v>1532.6772307301401</v>
          </cell>
        </row>
        <row r="172">
          <cell r="A172" t="str">
            <v>ITOT-SWHNGABR</v>
          </cell>
          <cell r="B172" t="str">
            <v>VAR_fin</v>
          </cell>
          <cell r="C172" t="str">
            <v>INGA</v>
          </cell>
          <cell r="H172">
            <v>27.843265895450582</v>
          </cell>
          <cell r="I172">
            <v>29.219838323367313</v>
          </cell>
          <cell r="J172">
            <v>27.175128204435048</v>
          </cell>
        </row>
        <row r="173">
          <cell r="A173" t="str">
            <v>ITOT-SWHNGABR</v>
          </cell>
          <cell r="B173" t="str">
            <v>VAR_ncap</v>
          </cell>
          <cell r="C173" t="str">
            <v>-</v>
          </cell>
          <cell r="H173">
            <v>0.91529454577607094</v>
          </cell>
          <cell r="I173">
            <v>0.467168031473918</v>
          </cell>
          <cell r="J173">
            <v>0.68090750981436299</v>
          </cell>
        </row>
        <row r="174">
          <cell r="A174" t="str">
            <v>ITOT-SWHNGABR</v>
          </cell>
          <cell r="B174" t="str">
            <v>VAR_cap</v>
          </cell>
          <cell r="C174" t="str">
            <v>-</v>
          </cell>
          <cell r="H174">
            <v>1.3189650175848249</v>
          </cell>
          <cell r="I174">
            <v>1.3824618015013512</v>
          </cell>
          <cell r="J174">
            <v>1.4071097515979172</v>
          </cell>
        </row>
        <row r="175">
          <cell r="A175" t="str">
            <v>RHNM-SHSOLBR</v>
          </cell>
          <cell r="B175" t="str">
            <v>VAR_fout</v>
          </cell>
          <cell r="C175" t="str">
            <v>RHNM-SHASOL</v>
          </cell>
          <cell r="H175">
            <v>3.1258822631645791E-5</v>
          </cell>
          <cell r="I175">
            <v>4.3795913220388866E-5</v>
          </cell>
          <cell r="J175">
            <v>1.8451886986272184E-4</v>
          </cell>
        </row>
        <row r="176">
          <cell r="A176" t="str">
            <v>RHNM-SHSOLBR</v>
          </cell>
          <cell r="B176" t="str">
            <v>VAR_fin</v>
          </cell>
          <cell r="C176" t="str">
            <v>SOL</v>
          </cell>
          <cell r="H176">
            <v>3.1258822631645791E-5</v>
          </cell>
          <cell r="I176">
            <v>4.3795913220388866E-5</v>
          </cell>
          <cell r="J176">
            <v>1.8451886986272184E-4</v>
          </cell>
        </row>
        <row r="177">
          <cell r="A177" t="str">
            <v>RHNM-SHSOLBR</v>
          </cell>
          <cell r="B177" t="str">
            <v>VAR_ncap</v>
          </cell>
          <cell r="C177" t="str">
            <v>-</v>
          </cell>
          <cell r="H177">
            <v>2.6745664904932002E-5</v>
          </cell>
          <cell r="I177">
            <v>1.5507792374574601E-6</v>
          </cell>
          <cell r="J177">
            <v>2.72662765169173E-5</v>
          </cell>
        </row>
        <row r="178">
          <cell r="A178" t="str">
            <v>RHNM-SHSOLBR</v>
          </cell>
          <cell r="B178" t="str">
            <v>VAR_cap</v>
          </cell>
          <cell r="C178" t="str">
            <v>-</v>
          </cell>
          <cell r="H178">
            <v>1.0832822257893985E-4</v>
          </cell>
          <cell r="I178">
            <v>2.8381248397722962E-5</v>
          </cell>
          <cell r="J178">
            <v>3.9664190704336551E-5</v>
          </cell>
        </row>
        <row r="179">
          <cell r="A179" t="str">
            <v>RHEM-SHPLTBR</v>
          </cell>
          <cell r="B179" t="str">
            <v>VAR_fout</v>
          </cell>
          <cell r="C179" t="str">
            <v>RHEM-SHPLT</v>
          </cell>
          <cell r="H179">
            <v>0.5038414987008184</v>
          </cell>
          <cell r="I179">
            <v>0.56881141066786245</v>
          </cell>
          <cell r="J179">
            <v>0.66585021609930961</v>
          </cell>
        </row>
        <row r="180">
          <cell r="A180" t="str">
            <v>RHEM-SHPLTBR</v>
          </cell>
          <cell r="B180" t="str">
            <v>VAR_fin</v>
          </cell>
          <cell r="C180" t="str">
            <v>RHEMPLTBRC</v>
          </cell>
          <cell r="H180">
            <v>0.5038414987008184</v>
          </cell>
          <cell r="I180">
            <v>0.56881141066786245</v>
          </cell>
          <cell r="J180">
            <v>0.66585021609930961</v>
          </cell>
          <cell r="L180"/>
        </row>
        <row r="181">
          <cell r="A181" t="str">
            <v>RHEM-SHPLTBR</v>
          </cell>
          <cell r="B181" t="str">
            <v>VAR_fin</v>
          </cell>
          <cell r="C181" t="str">
            <v>RPLT</v>
          </cell>
          <cell r="H181">
            <v>0.67695071848733246</v>
          </cell>
          <cell r="I181">
            <v>0.76349350404736582</v>
          </cell>
          <cell r="J181">
            <v>0.88780608136723904</v>
          </cell>
        </row>
        <row r="182">
          <cell r="A182" t="str">
            <v>RHEM-SHPLTBR</v>
          </cell>
          <cell r="B182" t="str">
            <v>VAR_ncap</v>
          </cell>
          <cell r="C182" t="str">
            <v>-</v>
          </cell>
          <cell r="H182">
            <v>2.03367017311629E-2</v>
          </cell>
          <cell r="I182">
            <v>1.9843817874036801E-2</v>
          </cell>
          <cell r="J182">
            <v>2.4017144346144801E-2</v>
          </cell>
        </row>
        <row r="183">
          <cell r="A183" t="str">
            <v>RHEM-SHPLTBR</v>
          </cell>
          <cell r="B183" t="str">
            <v>VAR_cap</v>
          </cell>
          <cell r="C183" t="str">
            <v>-</v>
          </cell>
          <cell r="H183">
            <v>3.5583563107953103E-2</v>
          </cell>
          <cell r="I183">
            <v>4.018053133704818E-2</v>
          </cell>
          <cell r="J183">
            <v>4.7020762705114745E-2</v>
          </cell>
        </row>
        <row r="184">
          <cell r="A184" t="str">
            <v>RHEM-SHCONBR6</v>
          </cell>
          <cell r="B184" t="str">
            <v>VAR_fout</v>
          </cell>
          <cell r="C184" t="str">
            <v>RHEM-SHCON</v>
          </cell>
          <cell r="H184">
            <v>1.9290885559911398E-4</v>
          </cell>
          <cell r="I184">
            <v>1.9125911911640854E-4</v>
          </cell>
          <cell r="J184">
            <v>1.1487034066114062E-4</v>
          </cell>
        </row>
        <row r="185">
          <cell r="A185" t="str">
            <v>RHEM-SHCONBR6</v>
          </cell>
          <cell r="B185" t="str">
            <v>VAR_fin</v>
          </cell>
          <cell r="C185" t="str">
            <v>CON</v>
          </cell>
          <cell r="H185">
            <v>1.9290885559911398E-4</v>
          </cell>
          <cell r="I185">
            <v>1.9125911911640854E-4</v>
          </cell>
          <cell r="J185">
            <v>1.1487034066114062E-4</v>
          </cell>
        </row>
        <row r="186">
          <cell r="A186" t="str">
            <v>RHEM-SHCONBR6</v>
          </cell>
          <cell r="B186" t="str">
            <v>VAR_ncap</v>
          </cell>
          <cell r="C186" t="str">
            <v>-</v>
          </cell>
          <cell r="H186"/>
          <cell r="I186"/>
          <cell r="J186"/>
        </row>
        <row r="187">
          <cell r="A187" t="str">
            <v>RHEM-SHCONBR6</v>
          </cell>
          <cell r="B187" t="str">
            <v>VAR_cap</v>
          </cell>
          <cell r="C187" t="str">
            <v>-</v>
          </cell>
          <cell r="H187">
            <v>1.2910470350505001E-5</v>
          </cell>
          <cell r="I187">
            <v>1.2910470350505001E-5</v>
          </cell>
          <cell r="J187">
            <v>7.4635562717651302E-6</v>
          </cell>
        </row>
        <row r="188">
          <cell r="A188" t="str">
            <v>RHEM-SHCONBR7</v>
          </cell>
          <cell r="B188" t="str">
            <v>VAR_fout</v>
          </cell>
          <cell r="C188" t="str">
            <v>RHEM-SHCON</v>
          </cell>
          <cell r="H188">
            <v>3.8302640851300175E-5</v>
          </cell>
          <cell r="I188">
            <v>3.6048381680544251E-5</v>
          </cell>
          <cell r="J188">
            <v>2.369123378852552E-5</v>
          </cell>
        </row>
        <row r="189">
          <cell r="A189" t="str">
            <v>RHEM-SHCONBR7</v>
          </cell>
          <cell r="B189" t="str">
            <v>VAR_fin</v>
          </cell>
          <cell r="C189" t="str">
            <v>CON</v>
          </cell>
          <cell r="H189">
            <v>3.8302640851300175E-5</v>
          </cell>
          <cell r="I189">
            <v>3.6048381680544251E-5</v>
          </cell>
          <cell r="J189">
            <v>2.369123378852552E-5</v>
          </cell>
        </row>
        <row r="190">
          <cell r="A190" t="str">
            <v>RHEM-SHCONBR7</v>
          </cell>
          <cell r="B190" t="str">
            <v>VAR_ncap</v>
          </cell>
          <cell r="C190" t="str">
            <v>-</v>
          </cell>
          <cell r="H190"/>
          <cell r="I190"/>
          <cell r="J190"/>
        </row>
        <row r="191">
          <cell r="A191" t="str">
            <v>RHEM-SHCONBR7</v>
          </cell>
          <cell r="B191" t="str">
            <v>VAR_cap</v>
          </cell>
          <cell r="C191" t="str">
            <v>-</v>
          </cell>
          <cell r="H191">
            <v>1.7451866730379601E-6</v>
          </cell>
          <cell r="I191">
            <v>1.7451866730379601E-6</v>
          </cell>
          <cell r="J191">
            <v>1.00889422192461E-6</v>
          </cell>
        </row>
        <row r="192">
          <cell r="A192" t="str">
            <v>RHEM-SHCONBR8</v>
          </cell>
          <cell r="B192" t="str">
            <v>VAR_fout</v>
          </cell>
          <cell r="C192" t="str">
            <v>RHEM-SHCON</v>
          </cell>
          <cell r="H192">
            <v>1.3752424172776871E-5</v>
          </cell>
          <cell r="I192">
            <v>1.1387003214445382E-5</v>
          </cell>
          <cell r="J192">
            <v>8.9753846410837353E-6</v>
          </cell>
        </row>
        <row r="193">
          <cell r="A193" t="str">
            <v>RHEM-SHCONBR8</v>
          </cell>
          <cell r="B193" t="str">
            <v>VAR_fin</v>
          </cell>
          <cell r="C193" t="str">
            <v>CON</v>
          </cell>
          <cell r="H193">
            <v>1.3752424172776871E-5</v>
          </cell>
          <cell r="I193">
            <v>1.1387003214445382E-5</v>
          </cell>
          <cell r="J193">
            <v>8.9753846410837353E-6</v>
          </cell>
        </row>
        <row r="194">
          <cell r="A194" t="str">
            <v>RHES-SHELCHP</v>
          </cell>
          <cell r="B194" t="str">
            <v>VAR_fout</v>
          </cell>
          <cell r="C194" t="str">
            <v>RHES-SHAELCH</v>
          </cell>
          <cell r="H194">
            <v>24.615684608589298</v>
          </cell>
          <cell r="I194">
            <v>25.57707733797584</v>
          </cell>
          <cell r="J194">
            <v>27.193909911462427</v>
          </cell>
        </row>
        <row r="195">
          <cell r="A195" t="str">
            <v>RHES-SHELCHP</v>
          </cell>
          <cell r="B195" t="str">
            <v>VAR_fin</v>
          </cell>
          <cell r="C195" t="str">
            <v>RHES_ELC</v>
          </cell>
          <cell r="H195">
            <v>7.6014403320980968</v>
          </cell>
          <cell r="I195">
            <v>7.602915216946859</v>
          </cell>
          <cell r="J195">
            <v>7.425568989957867</v>
          </cell>
        </row>
        <row r="196">
          <cell r="A196" t="str">
            <v>RHES-SHELCHP</v>
          </cell>
          <cell r="B196" t="str">
            <v>VAR_fin</v>
          </cell>
          <cell r="C196" t="str">
            <v>RHESELCHPC</v>
          </cell>
          <cell r="H196">
            <v>24.615684608589298</v>
          </cell>
          <cell r="I196">
            <v>25.57707733797584</v>
          </cell>
          <cell r="J196">
            <v>27.193909911462427</v>
          </cell>
        </row>
        <row r="197">
          <cell r="A197" t="str">
            <v>RHES-SHELCHP</v>
          </cell>
          <cell r="B197" t="str">
            <v>VAR_ncap</v>
          </cell>
          <cell r="C197" t="str">
            <v>-</v>
          </cell>
          <cell r="H197">
            <v>0.74243822677433202</v>
          </cell>
          <cell r="I197">
            <v>1.0144375846367799</v>
          </cell>
          <cell r="J197">
            <v>1.1466751400656701</v>
          </cell>
        </row>
        <row r="198">
          <cell r="A198" t="str">
            <v>RHES-SHELCHP</v>
          </cell>
          <cell r="B198" t="str">
            <v>VAR_cap</v>
          </cell>
          <cell r="C198" t="str">
            <v>-</v>
          </cell>
          <cell r="H198">
            <v>1.9886468079010029</v>
          </cell>
          <cell r="I198">
            <v>2.0663144385270846</v>
          </cell>
          <cell r="J198">
            <v>2.1969338949896406</v>
          </cell>
          <cell r="L198"/>
          <cell r="M198"/>
          <cell r="N198"/>
        </row>
        <row r="199">
          <cell r="A199" t="str">
            <v>RHSA-WHELCHP</v>
          </cell>
          <cell r="B199" t="str">
            <v>VAR_fout</v>
          </cell>
          <cell r="C199" t="str">
            <v>RHSA-WHAELCH</v>
          </cell>
          <cell r="H199">
            <v>8.8134597637404291</v>
          </cell>
          <cell r="I199">
            <v>10.460793928779383</v>
          </cell>
          <cell r="J199">
            <v>13.821349422260248</v>
          </cell>
        </row>
        <row r="200">
          <cell r="A200" t="str">
            <v>RHSA-WHELCHP</v>
          </cell>
          <cell r="B200" t="str">
            <v>VAR_fin</v>
          </cell>
          <cell r="C200" t="str">
            <v>RHSA_ELC</v>
          </cell>
          <cell r="H200">
            <v>4.0961369585018659</v>
          </cell>
          <cell r="I200">
            <v>4.6696226047154168</v>
          </cell>
          <cell r="J200">
            <v>5.6489461469368436</v>
          </cell>
        </row>
        <row r="201">
          <cell r="A201" t="str">
            <v>RHSA-WHELCHP</v>
          </cell>
          <cell r="B201" t="str">
            <v>VAR_ncap</v>
          </cell>
          <cell r="C201" t="str">
            <v>-</v>
          </cell>
          <cell r="H201">
            <v>0.31131410500762602</v>
          </cell>
          <cell r="I201">
            <v>0.28834955202490598</v>
          </cell>
          <cell r="J201">
            <v>0.60373460061010997</v>
          </cell>
          <cell r="M201"/>
          <cell r="N201"/>
        </row>
        <row r="202">
          <cell r="A202" t="str">
            <v>RHSA-WHELCHP</v>
          </cell>
          <cell r="B202" t="str">
            <v>VAR_cap</v>
          </cell>
          <cell r="C202" t="str">
            <v>-</v>
          </cell>
          <cell r="H202">
            <v>0.60239757503900182</v>
          </cell>
          <cell r="I202">
            <v>0.71499164651427549</v>
          </cell>
          <cell r="J202">
            <v>0.94468371715574684</v>
          </cell>
        </row>
        <row r="203">
          <cell r="A203" t="str">
            <v>D-ITOT_LTH_CHP</v>
          </cell>
          <cell r="B203" t="str">
            <v>VAR_fout</v>
          </cell>
          <cell r="C203" t="str">
            <v>ITOT_LTH_CHP_ON</v>
          </cell>
          <cell r="H203">
            <v>7.2025804379705693</v>
          </cell>
          <cell r="I203">
            <v>7.4905054686937271</v>
          </cell>
          <cell r="J203">
            <v>9.6142047263952986</v>
          </cell>
        </row>
        <row r="204">
          <cell r="A204" t="str">
            <v>D-ITOT_LTH_CHP</v>
          </cell>
          <cell r="B204" t="str">
            <v>VAR_fout</v>
          </cell>
          <cell r="C204" t="str">
            <v>LTH</v>
          </cell>
          <cell r="H204">
            <v>1.1063083866645295E-3</v>
          </cell>
          <cell r="I204">
            <v>1.2929205319846563E-2</v>
          </cell>
          <cell r="J204">
            <v>2.3864539826694411E-2</v>
          </cell>
        </row>
        <row r="205">
          <cell r="A205" t="str">
            <v>D-ITOT_LTH_CHP</v>
          </cell>
          <cell r="B205" t="str">
            <v>VAR_fin</v>
          </cell>
          <cell r="C205" t="str">
            <v>ITOT_LTH_CHP</v>
          </cell>
          <cell r="H205">
            <v>7.2036867463572314</v>
          </cell>
          <cell r="I205">
            <v>7.5034346740135796</v>
          </cell>
          <cell r="J205">
            <v>9.6380692662219936</v>
          </cell>
        </row>
        <row r="206">
          <cell r="A206" t="str">
            <v>RHEM-SHCONBR9</v>
          </cell>
          <cell r="B206" t="str">
            <v>VAR_fout</v>
          </cell>
          <cell r="C206" t="str">
            <v>RHEM-SHCON</v>
          </cell>
          <cell r="H206">
            <v>1.3701814353493169E-5</v>
          </cell>
          <cell r="I206">
            <v>1.1320801736587194E-5</v>
          </cell>
          <cell r="J206">
            <v>8.9076896441609663E-6</v>
          </cell>
        </row>
        <row r="207">
          <cell r="A207" t="str">
            <v>RHEM-SHCONBR9</v>
          </cell>
          <cell r="B207" t="str">
            <v>VAR_fin</v>
          </cell>
          <cell r="C207" t="str">
            <v>CON</v>
          </cell>
          <cell r="H207">
            <v>1.3701814353493169E-5</v>
          </cell>
          <cell r="I207">
            <v>1.1320801736587194E-5</v>
          </cell>
          <cell r="J207">
            <v>8.9076896441609663E-6</v>
          </cell>
        </row>
        <row r="208">
          <cell r="A208" t="str">
            <v>SCOM-SHELCHP</v>
          </cell>
          <cell r="B208" t="str">
            <v>VAR_fout</v>
          </cell>
          <cell r="C208" t="str">
            <v>SCOM-SHAELCH</v>
          </cell>
          <cell r="H208">
            <v>9.6814528450133963</v>
          </cell>
          <cell r="I208">
            <v>11.706592195175997</v>
          </cell>
          <cell r="J208">
            <v>15.908564628538544</v>
          </cell>
        </row>
        <row r="209">
          <cell r="A209" t="str">
            <v>SCOM-SHELCHP</v>
          </cell>
          <cell r="B209" t="str">
            <v>VAR_fin</v>
          </cell>
          <cell r="C209" t="str">
            <v>SCOMELCHPC</v>
          </cell>
          <cell r="H209">
            <v>9.6814528450133963</v>
          </cell>
          <cell r="I209">
            <v>11.706592195175997</v>
          </cell>
          <cell r="J209">
            <v>15.908564628538544</v>
          </cell>
        </row>
        <row r="210">
          <cell r="A210" t="str">
            <v>SCOM-SHELCHP</v>
          </cell>
          <cell r="B210" t="str">
            <v>VAR_fin</v>
          </cell>
          <cell r="C210" t="str">
            <v>SCOM_ELC</v>
          </cell>
          <cell r="H210">
            <v>3.0817104933057369</v>
          </cell>
          <cell r="I210">
            <v>3.6105314599494602</v>
          </cell>
          <cell r="J210">
            <v>4.5905300802337168</v>
          </cell>
        </row>
        <row r="211">
          <cell r="A211" t="str">
            <v>SCOM-SHELCHP</v>
          </cell>
          <cell r="B211" t="str">
            <v>VAR_ncap</v>
          </cell>
          <cell r="C211" t="str">
            <v>-</v>
          </cell>
          <cell r="H211">
            <v>0.48665271357662299</v>
          </cell>
          <cell r="I211">
            <v>0.31856404880782102</v>
          </cell>
          <cell r="J211">
            <v>0.79794454270549697</v>
          </cell>
        </row>
        <row r="212">
          <cell r="A212" t="str">
            <v>SCOM-SHELCHP</v>
          </cell>
          <cell r="B212" t="str">
            <v>VAR_cap</v>
          </cell>
          <cell r="C212" t="str">
            <v>-</v>
          </cell>
          <cell r="H212">
            <v>0.74836655733876134</v>
          </cell>
          <cell r="I212">
            <v>0.90769195984886308</v>
          </cell>
          <cell r="J212">
            <v>1.2349886176500562</v>
          </cell>
        </row>
        <row r="213">
          <cell r="A213" t="str">
            <v>D-ITOT_NKEV_OIL_ELC_CHP</v>
          </cell>
          <cell r="B213" t="str">
            <v>VAR_fout</v>
          </cell>
          <cell r="C213" t="str">
            <v>ITOT_ELC</v>
          </cell>
          <cell r="H213">
            <v>0.17069878878267419</v>
          </cell>
          <cell r="I213">
            <v>1.6228829374730108E-2</v>
          </cell>
          <cell r="J213">
            <v>1.9361158950764026E-2</v>
          </cell>
        </row>
        <row r="214">
          <cell r="A214" t="str">
            <v>D-ITOT_NKEV_OIL_ELC_CHP</v>
          </cell>
          <cell r="B214" t="str">
            <v>VAR_fout</v>
          </cell>
          <cell r="C214" t="str">
            <v>ELC5</v>
          </cell>
          <cell r="H214">
            <v>4.5569379381383429E-4</v>
          </cell>
          <cell r="I214">
            <v>1.9699669952858397E-4</v>
          </cell>
          <cell r="J214">
            <v>1.046702706260433E-4</v>
          </cell>
        </row>
        <row r="215">
          <cell r="A215" t="str">
            <v>D-ITOT_NKEV_OIL_ELC_CHP</v>
          </cell>
          <cell r="B215" t="str">
            <v>VAR_fin</v>
          </cell>
          <cell r="C215" t="str">
            <v>ITOT_NKEV_OIL_ELC_CHP</v>
          </cell>
          <cell r="H215">
            <v>0.17115073184185231</v>
          </cell>
          <cell r="I215">
            <v>1.6421454979831902E-2</v>
          </cell>
          <cell r="J215">
            <v>1.9462311574267709E-2</v>
          </cell>
        </row>
        <row r="216">
          <cell r="A216" t="str">
            <v>RHNS-SHELCBR</v>
          </cell>
          <cell r="B216" t="str">
            <v>VAR_fout</v>
          </cell>
          <cell r="C216" t="str">
            <v>RHNS-SHAELCB</v>
          </cell>
          <cell r="H216">
            <v>2.2914953965105695E-2</v>
          </cell>
          <cell r="I216">
            <v>2.788645659550771E-2</v>
          </cell>
          <cell r="J216">
            <v>3.21989627851616E-2</v>
          </cell>
        </row>
        <row r="217">
          <cell r="A217" t="str">
            <v>RHNS-SHELCBR</v>
          </cell>
          <cell r="B217" t="str">
            <v>VAR_fin</v>
          </cell>
          <cell r="C217" t="str">
            <v>RHNS_ELC</v>
          </cell>
          <cell r="H217">
            <v>2.4121004173795462E-2</v>
          </cell>
          <cell r="I217">
            <v>2.9354164837376545E-2</v>
          </cell>
          <cell r="J217">
            <v>3.3893645037012234E-2</v>
          </cell>
        </row>
        <row r="218">
          <cell r="A218" t="str">
            <v>RHNS-SHELCBR</v>
          </cell>
          <cell r="B218" t="str">
            <v>VAR_ncap</v>
          </cell>
          <cell r="C218" t="str">
            <v>-</v>
          </cell>
          <cell r="H218">
            <v>5.5668443293217804E-3</v>
          </cell>
          <cell r="I218"/>
          <cell r="J218"/>
        </row>
        <row r="219">
          <cell r="A219" t="str">
            <v>RHNS-SHELCBR</v>
          </cell>
          <cell r="B219" t="str">
            <v>VAR_cap</v>
          </cell>
          <cell r="C219" t="str">
            <v>-</v>
          </cell>
          <cell r="H219">
            <v>8.1511821563011854E-3</v>
          </cell>
          <cell r="I219">
            <v>5.5668192027155221E-3</v>
          </cell>
          <cell r="J219">
            <v>2.354715548075044E-3</v>
          </cell>
        </row>
        <row r="220">
          <cell r="A220" t="str">
            <v>ITOT-SWHSTG-SOL</v>
          </cell>
          <cell r="B220" t="str">
            <v>VAR_fout</v>
          </cell>
          <cell r="C220" t="str">
            <v>ITOT-SWHASOL</v>
          </cell>
          <cell r="H220">
            <v>7.7609099323857687E-5</v>
          </cell>
          <cell r="I220">
            <v>7.5992688700064425E-5</v>
          </cell>
          <cell r="J220">
            <v>1.1165580685378524E-4</v>
          </cell>
        </row>
        <row r="221">
          <cell r="A221" t="str">
            <v>ITOT-SWHSTG-SOL</v>
          </cell>
          <cell r="B221" t="str">
            <v>VAR_fin</v>
          </cell>
          <cell r="C221" t="str">
            <v>ITOT-SWHASOL</v>
          </cell>
          <cell r="H221">
            <v>7.6634641276378094E-5</v>
          </cell>
          <cell r="I221">
            <v>7.3106824124351703E-5</v>
          </cell>
          <cell r="J221">
            <v>1.0550391351961132E-4</v>
          </cell>
        </row>
        <row r="222">
          <cell r="A222" t="str">
            <v>ITOT-SWHSTG-SOL</v>
          </cell>
          <cell r="B222" t="str">
            <v>VAR_ncap</v>
          </cell>
          <cell r="C222" t="str">
            <v>-</v>
          </cell>
          <cell r="H222">
            <v>2.1936717125361801E-6</v>
          </cell>
          <cell r="I222">
            <v>2.0112083793881498E-6</v>
          </cell>
          <cell r="J222">
            <v>1.79847324690069E-7</v>
          </cell>
        </row>
        <row r="223">
          <cell r="A223" t="str">
            <v>ITOT-SWHSTG-SOL</v>
          </cell>
          <cell r="B223" t="str">
            <v>VAR_cap</v>
          </cell>
          <cell r="C223" t="str">
            <v>-</v>
          </cell>
          <cell r="H223">
            <v>7.3957102871095001E-6</v>
          </cell>
          <cell r="I223">
            <v>5.98079688923209E-6</v>
          </cell>
          <cell r="J223">
            <v>2.56736007031793E-6</v>
          </cell>
        </row>
        <row r="224">
          <cell r="A224" t="str">
            <v>RHES-SHLTHCHPNGA</v>
          </cell>
          <cell r="B224" t="str">
            <v>VAR_fout</v>
          </cell>
          <cell r="C224" t="str">
            <v>RHES-SHLTHC-NGA</v>
          </cell>
          <cell r="H224"/>
          <cell r="I224"/>
          <cell r="J224"/>
        </row>
        <row r="225">
          <cell r="A225" t="str">
            <v>RHES-SHLTHCHPNGA</v>
          </cell>
          <cell r="B225" t="str">
            <v>VAR_fin</v>
          </cell>
          <cell r="C225" t="str">
            <v>RHESLTHCHPC</v>
          </cell>
          <cell r="H225"/>
          <cell r="I225"/>
          <cell r="J225"/>
        </row>
        <row r="226">
          <cell r="A226" t="str">
            <v>RHES-SHLTHCHPNGA</v>
          </cell>
          <cell r="B226" t="str">
            <v>VAR_fin</v>
          </cell>
          <cell r="C226" t="str">
            <v>RHES_LTH_CHPNGA_ON</v>
          </cell>
          <cell r="H226"/>
          <cell r="I226"/>
          <cell r="J226"/>
        </row>
        <row r="227">
          <cell r="A227" t="str">
            <v>RHES-SHLTHCHPNGA</v>
          </cell>
          <cell r="B227" t="str">
            <v>VAR_ncap</v>
          </cell>
          <cell r="C227" t="str">
            <v>-</v>
          </cell>
          <cell r="H227">
            <v>3.7931334966524998E-4</v>
          </cell>
          <cell r="I227">
            <v>1.00828405805651E-4</v>
          </cell>
          <cell r="J227">
            <v>1.36346709782303E-5</v>
          </cell>
        </row>
        <row r="228">
          <cell r="A228" t="str">
            <v>RHES-SHLTHCHPNGA</v>
          </cell>
          <cell r="B228" t="str">
            <v>VAR_cap</v>
          </cell>
          <cell r="C228" t="str">
            <v>-</v>
          </cell>
          <cell r="H228">
            <v>7.3469152878815995E-4</v>
          </cell>
          <cell r="I228">
            <v>2.3244587834120301E-4</v>
          </cell>
          <cell r="J228">
            <v>2.8284635528829001E-5</v>
          </cell>
        </row>
        <row r="229">
          <cell r="A229" t="str">
            <v>RHSA-WHSTG-ELC</v>
          </cell>
          <cell r="B229" t="str">
            <v>VAR_fout</v>
          </cell>
          <cell r="C229" t="str">
            <v>RHSA-WHAELCB</v>
          </cell>
          <cell r="H229">
            <v>0.3399528947338783</v>
          </cell>
          <cell r="I229">
            <v>0.34318724276753959</v>
          </cell>
          <cell r="J229">
            <v>0.27693736204351316</v>
          </cell>
        </row>
        <row r="230">
          <cell r="A230" t="str">
            <v>RHSA-WHSTG-ELC</v>
          </cell>
          <cell r="B230" t="str">
            <v>VAR_fout</v>
          </cell>
          <cell r="C230" t="str">
            <v>AUX_RHSA-WHSTG-ELC_OUT</v>
          </cell>
          <cell r="H230">
            <v>0.34029284762861212</v>
          </cell>
          <cell r="I230">
            <v>0.34353043001030714</v>
          </cell>
          <cell r="J230">
            <v>0.27721429940555675</v>
          </cell>
        </row>
        <row r="231">
          <cell r="A231" t="str">
            <v>RHSA-WHSTG-ELC</v>
          </cell>
          <cell r="B231" t="str">
            <v>VAR_fin</v>
          </cell>
          <cell r="C231" t="str">
            <v>RHSA-WHAELCB</v>
          </cell>
          <cell r="H231">
            <v>0.33995283868242482</v>
          </cell>
          <cell r="I231">
            <v>0.34318734850792193</v>
          </cell>
          <cell r="J231">
            <v>0.27693747056327694</v>
          </cell>
        </row>
        <row r="232">
          <cell r="A232" t="str">
            <v>RHSA-WHSTG-ELC</v>
          </cell>
          <cell r="B232" t="str">
            <v>VAR_ncap</v>
          </cell>
          <cell r="C232" t="str">
            <v>-</v>
          </cell>
          <cell r="H232">
            <v>1.49185960608145E-2</v>
          </cell>
          <cell r="I232">
            <v>1.6077259535482301E-2</v>
          </cell>
          <cell r="J232">
            <v>9.3067411128619302E-3</v>
          </cell>
        </row>
        <row r="233">
          <cell r="A233" t="str">
            <v>RHSA-WHSTG-ELC</v>
          </cell>
          <cell r="B233" t="str">
            <v>VAR_cap</v>
          </cell>
          <cell r="C233" t="str">
            <v>-</v>
          </cell>
          <cell r="H233">
            <v>3.1964413655681326E-2</v>
          </cell>
          <cell r="I233">
            <v>3.0993034052515502E-2</v>
          </cell>
          <cell r="J233">
            <v>2.7277827292729265E-2</v>
          </cell>
        </row>
        <row r="234">
          <cell r="A234" t="str">
            <v>ITOT-SWHLFOBR</v>
          </cell>
          <cell r="B234" t="str">
            <v>VAR_fout</v>
          </cell>
          <cell r="C234" t="str">
            <v>ITOT-SWH</v>
          </cell>
          <cell r="H234">
            <v>4.0214285616232326</v>
          </cell>
          <cell r="I234">
            <v>2.7593971542083313</v>
          </cell>
          <cell r="J234">
            <v>0.2105936716524125</v>
          </cell>
        </row>
        <row r="235">
          <cell r="A235" t="str">
            <v>ITOT-SWHLFOBR</v>
          </cell>
          <cell r="B235" t="str">
            <v>VAR_fout</v>
          </cell>
          <cell r="C235" t="str">
            <v>CO2_I</v>
          </cell>
          <cell r="H235">
            <v>376.64387050611202</v>
          </cell>
          <cell r="I235">
            <v>257.41437922661999</v>
          </cell>
          <cell r="J235">
            <v>19.490392344651099</v>
          </cell>
        </row>
        <row r="236">
          <cell r="A236" t="str">
            <v>ITOT-SWHLFOBR</v>
          </cell>
          <cell r="B236" t="str">
            <v>VAR_fin</v>
          </cell>
          <cell r="C236" t="str">
            <v>ILFO</v>
          </cell>
          <cell r="H236">
            <v>5.110500278237609</v>
          </cell>
          <cell r="I236">
            <v>3.4927324182716433</v>
          </cell>
          <cell r="J236">
            <v>0.26445579843488626</v>
          </cell>
        </row>
        <row r="237">
          <cell r="A237" t="str">
            <v>ITOT-SWHLFOBR</v>
          </cell>
          <cell r="B237" t="str">
            <v>VAR_ncap</v>
          </cell>
          <cell r="C237" t="str">
            <v>-</v>
          </cell>
          <cell r="H237">
            <v>0.16743750900619001</v>
          </cell>
          <cell r="I237">
            <v>7.1283864861982401E-6</v>
          </cell>
          <cell r="J237">
            <v>8.1445686935795604E-7</v>
          </cell>
        </row>
        <row r="238">
          <cell r="A238" t="str">
            <v>ITOT-SWHLFOBR</v>
          </cell>
          <cell r="B238" t="str">
            <v>VAR_cap</v>
          </cell>
          <cell r="C238" t="str">
            <v>-</v>
          </cell>
          <cell r="H238">
            <v>0.26504013114066277</v>
          </cell>
          <cell r="I238">
            <v>0.16744517187690561</v>
          </cell>
          <cell r="J238">
            <v>2.2923754217396106E-2</v>
          </cell>
        </row>
        <row r="239">
          <cell r="A239" t="str">
            <v>D-SCOM_LTH_CHPNGA</v>
          </cell>
          <cell r="B239" t="str">
            <v>VAR_fout</v>
          </cell>
          <cell r="C239" t="str">
            <v>SCOM_LTH_CHPNGA_ON</v>
          </cell>
          <cell r="H239"/>
          <cell r="I239"/>
          <cell r="J239"/>
        </row>
        <row r="240">
          <cell r="A240" t="str">
            <v>D-SCOM_LTH_CHPNGA</v>
          </cell>
          <cell r="B240" t="str">
            <v>VAR_fin</v>
          </cell>
          <cell r="C240" t="str">
            <v>SCOM_LTH_CHPNGA</v>
          </cell>
          <cell r="H240"/>
          <cell r="I240"/>
          <cell r="J240"/>
        </row>
        <row r="241">
          <cell r="A241" t="str">
            <v>D-IWOD</v>
          </cell>
          <cell r="B241" t="str">
            <v>VAR_fout</v>
          </cell>
          <cell r="C241" t="str">
            <v>IWOD</v>
          </cell>
          <cell r="H241">
            <v>17.804761658517553</v>
          </cell>
          <cell r="I241">
            <v>20.208031749021764</v>
          </cell>
          <cell r="J241">
            <v>22.66275335727709</v>
          </cell>
        </row>
        <row r="242">
          <cell r="A242" t="str">
            <v>D-IWOD</v>
          </cell>
          <cell r="B242" t="str">
            <v>VAR_fin</v>
          </cell>
          <cell r="C242" t="str">
            <v>WOD</v>
          </cell>
          <cell r="H242">
            <v>17.804761658517553</v>
          </cell>
          <cell r="I242">
            <v>20.208031749021764</v>
          </cell>
          <cell r="J242">
            <v>22.66275335727709</v>
          </cell>
        </row>
        <row r="243">
          <cell r="A243" t="str">
            <v>SCOM-ELCSPEC</v>
          </cell>
          <cell r="B243" t="str">
            <v>VAR_fout</v>
          </cell>
          <cell r="C243" t="str">
            <v>SCOM-ELS</v>
          </cell>
          <cell r="H243">
            <v>43.973581153369963</v>
          </cell>
          <cell r="I243">
            <v>42.947348885558718</v>
          </cell>
          <cell r="J243">
            <v>40.448398694425968</v>
          </cell>
        </row>
        <row r="244">
          <cell r="A244" t="str">
            <v>SCOM-ELCSPEC</v>
          </cell>
          <cell r="B244" t="str">
            <v>VAR_fin</v>
          </cell>
          <cell r="C244" t="str">
            <v>SCOM_ELC</v>
          </cell>
          <cell r="H244">
            <v>43.973581153369963</v>
          </cell>
          <cell r="I244">
            <v>42.947348885558718</v>
          </cell>
          <cell r="J244">
            <v>40.448398694425968</v>
          </cell>
        </row>
        <row r="245">
          <cell r="A245" t="str">
            <v>SCOM-ELCSPEC</v>
          </cell>
          <cell r="B245" t="str">
            <v>VAR_ncap</v>
          </cell>
          <cell r="C245" t="str">
            <v>-</v>
          </cell>
          <cell r="H245">
            <v>1.5440554307155901E-7</v>
          </cell>
          <cell r="I245">
            <v>2.3983879370965799E-7</v>
          </cell>
          <cell r="J245">
            <v>3.8721340934361201</v>
          </cell>
        </row>
        <row r="246">
          <cell r="A246" t="str">
            <v>SCOM-ELCSPEC</v>
          </cell>
          <cell r="B246" t="str">
            <v>VAR_cap</v>
          </cell>
          <cell r="C246" t="str">
            <v>-</v>
          </cell>
          <cell r="H246">
            <v>4.6479774458374834</v>
          </cell>
          <cell r="I246">
            <v>4.5395054423995065</v>
          </cell>
          <cell r="J246">
            <v>4.2753675596170595</v>
          </cell>
        </row>
        <row r="247">
          <cell r="A247" t="str">
            <v>D-ITOT_KEV_WST_ELC_CHP</v>
          </cell>
          <cell r="B247" t="str">
            <v>VAR_fout</v>
          </cell>
          <cell r="C247" t="str">
            <v>ITOT_ELC</v>
          </cell>
          <cell r="H247">
            <v>1.514322343451392E-4</v>
          </cell>
          <cell r="I247">
            <v>5.8864475316638287E-5</v>
          </cell>
          <cell r="J247">
            <v>5.8845512023294338E-5</v>
          </cell>
        </row>
        <row r="248">
          <cell r="A248" t="str">
            <v>D-ITOT_KEV_WST_ELC_CHP</v>
          </cell>
          <cell r="B248" t="str">
            <v>VAR_fout</v>
          </cell>
          <cell r="C248" t="str">
            <v>ELC5</v>
          </cell>
          <cell r="H248">
            <v>1.1672931398000673E-4</v>
          </cell>
          <cell r="I248">
            <v>4.9843357584990193E-5</v>
          </cell>
          <cell r="J248">
            <v>4.3246223630431853E-5</v>
          </cell>
        </row>
        <row r="249">
          <cell r="A249" t="str">
            <v>D-ITOT_KEV_WST_ELC_CHP</v>
          </cell>
          <cell r="B249" t="str">
            <v>VAR_fin</v>
          </cell>
          <cell r="C249" t="str">
            <v>ITOT_KEV_WST_ELC_CHP</v>
          </cell>
          <cell r="H249">
            <v>2.6448459928173215E-4</v>
          </cell>
          <cell r="I249">
            <v>1.0446755677402852E-4</v>
          </cell>
          <cell r="J249">
            <v>9.8618212051144259E-5</v>
          </cell>
        </row>
        <row r="250">
          <cell r="A250" t="str">
            <v>D-RHNM_SOLELC</v>
          </cell>
          <cell r="B250" t="str">
            <v>VAR_fout</v>
          </cell>
          <cell r="C250" t="str">
            <v>ELC5</v>
          </cell>
          <cell r="H250">
            <v>1.4897351725904438E-4</v>
          </cell>
          <cell r="I250">
            <v>1.1337992662925881E-4</v>
          </cell>
          <cell r="J250">
            <v>6.6928317993772949E-5</v>
          </cell>
        </row>
        <row r="251">
          <cell r="A251" t="str">
            <v>D-RHNM_SOLELC</v>
          </cell>
          <cell r="B251" t="str">
            <v>VAR_fout</v>
          </cell>
          <cell r="C251" t="str">
            <v>RHNM_ELC</v>
          </cell>
          <cell r="H251">
            <v>1.9787521197841982</v>
          </cell>
          <cell r="I251">
            <v>2.079755301090854</v>
          </cell>
          <cell r="J251">
            <v>2.2973887273573927</v>
          </cell>
        </row>
        <row r="252">
          <cell r="A252" t="str">
            <v>D-RHNM_SOLELC</v>
          </cell>
          <cell r="B252" t="str">
            <v>VAR_fin</v>
          </cell>
          <cell r="C252" t="str">
            <v>RHNM_SOL_ELC</v>
          </cell>
          <cell r="H252">
            <v>1.9789010933014577</v>
          </cell>
          <cell r="I252">
            <v>2.0798686810174831</v>
          </cell>
          <cell r="J252">
            <v>2.2974556556753836</v>
          </cell>
        </row>
        <row r="253">
          <cell r="A253" t="str">
            <v>RHNM-SHSTG-ELCHP</v>
          </cell>
          <cell r="B253" t="str">
            <v>VAR_fout</v>
          </cell>
          <cell r="C253" t="str">
            <v>AUX_RHNM-SHSTG-ELCHP_OUT</v>
          </cell>
          <cell r="H253">
            <v>0.31776595059058754</v>
          </cell>
          <cell r="I253">
            <v>0.403231200005496</v>
          </cell>
          <cell r="J253">
            <v>0.48226967051478048</v>
          </cell>
        </row>
        <row r="254">
          <cell r="A254" t="str">
            <v>RHNM-SHSTG-ELCHP</v>
          </cell>
          <cell r="B254" t="str">
            <v>VAR_fout</v>
          </cell>
          <cell r="C254" t="str">
            <v>RHNM-SHAELCH</v>
          </cell>
          <cell r="H254">
            <v>0.31744850208849895</v>
          </cell>
          <cell r="I254">
            <v>0.40282837163386226</v>
          </cell>
          <cell r="J254">
            <v>0.481787882632148</v>
          </cell>
        </row>
        <row r="255">
          <cell r="A255" t="str">
            <v>RHNM-SHSTG-ELCHP</v>
          </cell>
          <cell r="B255" t="str">
            <v>VAR_fin</v>
          </cell>
          <cell r="C255" t="str">
            <v>RHNM-SHAELCH</v>
          </cell>
          <cell r="H255">
            <v>0.31744928578464104</v>
          </cell>
          <cell r="I255">
            <v>0.40283002668040369</v>
          </cell>
          <cell r="J255">
            <v>0.48178960275654292</v>
          </cell>
        </row>
        <row r="256">
          <cell r="A256" t="str">
            <v>RHNM-SHSTG-ELCHP</v>
          </cell>
          <cell r="B256" t="str">
            <v>VAR_ncap</v>
          </cell>
          <cell r="C256" t="str">
            <v>-</v>
          </cell>
          <cell r="H256">
            <v>1.0045568050258399E-2</v>
          </cell>
          <cell r="I256">
            <v>2.6258479339408801E-2</v>
          </cell>
          <cell r="J256">
            <v>3.8318340597924001E-2</v>
          </cell>
        </row>
        <row r="257">
          <cell r="A257" t="str">
            <v>RHNM-SHSTG-ELCHP</v>
          </cell>
          <cell r="B257" t="str">
            <v>VAR_cap</v>
          </cell>
          <cell r="C257" t="str">
            <v>-</v>
          </cell>
          <cell r="H257">
            <v>4.0964652497539278E-2</v>
          </cell>
          <cell r="I257">
            <v>4.8959215586747318E-2</v>
          </cell>
          <cell r="J257">
            <v>6.1615654303462913E-2</v>
          </cell>
        </row>
        <row r="258">
          <cell r="A258" t="str">
            <v>D-SCOM_LTH</v>
          </cell>
          <cell r="B258" t="str">
            <v>VAR_fout</v>
          </cell>
          <cell r="C258" t="str">
            <v>SCOM_LTH_DH</v>
          </cell>
          <cell r="H258">
            <v>7.6331252036777171</v>
          </cell>
          <cell r="I258">
            <v>7.976402177207234</v>
          </cell>
          <cell r="J258">
            <v>8.4877192592780926</v>
          </cell>
        </row>
        <row r="259">
          <cell r="A259" t="str">
            <v>D-SCOM_LTH</v>
          </cell>
          <cell r="B259" t="str">
            <v>VAR_fin</v>
          </cell>
          <cell r="C259" t="str">
            <v>LTH</v>
          </cell>
          <cell r="H259">
            <v>8.2818387911851747</v>
          </cell>
          <cell r="I259">
            <v>8.6486170056645921</v>
          </cell>
          <cell r="J259">
            <v>9.1909765622679558</v>
          </cell>
        </row>
        <row r="260">
          <cell r="A260" t="str">
            <v>D-SCOM_LTH</v>
          </cell>
          <cell r="B260" t="str">
            <v>VAR_ncap</v>
          </cell>
          <cell r="C260" t="str">
            <v>-</v>
          </cell>
          <cell r="H260"/>
          <cell r="I260">
            <v>1.35017725015688E-8</v>
          </cell>
          <cell r="J260">
            <v>2.36581092844661E-8</v>
          </cell>
        </row>
        <row r="261">
          <cell r="A261" t="str">
            <v>D-SCOM_LTH</v>
          </cell>
          <cell r="B261" t="str">
            <v>VAR_cap</v>
          </cell>
          <cell r="C261" t="str">
            <v>-</v>
          </cell>
          <cell r="H261">
            <v>0.84970022057793604</v>
          </cell>
          <cell r="I261">
            <v>0.84970023407970896</v>
          </cell>
          <cell r="J261">
            <v>0.84970025773781799</v>
          </cell>
        </row>
        <row r="262">
          <cell r="A262" t="str">
            <v>ITOT-SWHBIOBR</v>
          </cell>
          <cell r="B262" t="str">
            <v>VAR_fout</v>
          </cell>
          <cell r="C262" t="str">
            <v>ITOT-SWH</v>
          </cell>
          <cell r="H262">
            <v>6.0033807299043076</v>
          </cell>
          <cell r="I262">
            <v>6.0033887883020114</v>
          </cell>
          <cell r="J262">
            <v>6.0793813297978989</v>
          </cell>
        </row>
        <row r="263">
          <cell r="A263" t="str">
            <v>ITOT-SWHBIOBR</v>
          </cell>
          <cell r="B263" t="str">
            <v>VAR_fin</v>
          </cell>
          <cell r="C263" t="str">
            <v>IBIO</v>
          </cell>
          <cell r="H263">
            <v>8.4435734597810228</v>
          </cell>
          <cell r="I263">
            <v>8.4435847936737201</v>
          </cell>
          <cell r="J263">
            <v>8.4435851802748534</v>
          </cell>
        </row>
        <row r="264">
          <cell r="A264" t="str">
            <v>ITOT-SWHBIOBR</v>
          </cell>
          <cell r="B264" t="str">
            <v>VAR_ncap</v>
          </cell>
          <cell r="C264" t="str">
            <v>-</v>
          </cell>
          <cell r="H264">
            <v>0.25672329643401598</v>
          </cell>
          <cell r="I264">
            <v>0.104363595428029</v>
          </cell>
          <cell r="J264">
            <v>0.19492765457098599</v>
          </cell>
        </row>
        <row r="265">
          <cell r="A265" t="str">
            <v>ITOT-SWHBIOBR</v>
          </cell>
          <cell r="B265" t="str">
            <v>VAR_cap</v>
          </cell>
          <cell r="C265" t="str">
            <v>-</v>
          </cell>
          <cell r="H265">
            <v>0.42229639631647142</v>
          </cell>
          <cell r="I265">
            <v>0.40466244283025166</v>
          </cell>
          <cell r="J265">
            <v>0.37925843397835579</v>
          </cell>
        </row>
        <row r="266">
          <cell r="A266" t="str">
            <v>RHNS-SHPLTBR</v>
          </cell>
          <cell r="B266" t="str">
            <v>VAR_fout</v>
          </cell>
          <cell r="C266" t="str">
            <v>RHNS-SHPLT</v>
          </cell>
          <cell r="H266">
            <v>8.7686248802537354E-3</v>
          </cell>
          <cell r="I266">
            <v>1.1701616265276264E-2</v>
          </cell>
          <cell r="J266">
            <v>1.815554011090521E-2</v>
          </cell>
        </row>
        <row r="267">
          <cell r="A267" t="str">
            <v>RHNS-SHPLTBR</v>
          </cell>
          <cell r="B267" t="str">
            <v>VAR_fin</v>
          </cell>
          <cell r="C267" t="str">
            <v>RPLT</v>
          </cell>
          <cell r="H267">
            <v>1.1707450482877267E-2</v>
          </cell>
          <cell r="I267">
            <v>1.5589033263107713E-2</v>
          </cell>
          <cell r="J267">
            <v>2.4152799024747568E-2</v>
          </cell>
        </row>
        <row r="268">
          <cell r="A268" t="str">
            <v>RHNS-SHPLTBR</v>
          </cell>
          <cell r="B268" t="str">
            <v>VAR_ncap</v>
          </cell>
          <cell r="C268" t="str">
            <v>-</v>
          </cell>
          <cell r="H268">
            <v>1.7748604501006301E-4</v>
          </cell>
          <cell r="I268">
            <v>4.5800663411171898E-4</v>
          </cell>
          <cell r="J268">
            <v>9.2127783242467105E-4</v>
          </cell>
        </row>
        <row r="269">
          <cell r="A269" t="str">
            <v>RHNS-SHPLTBR</v>
          </cell>
          <cell r="B269" t="str">
            <v>VAR_cap</v>
          </cell>
          <cell r="C269" t="str">
            <v>-</v>
          </cell>
          <cell r="H269">
            <v>6.455042836871934E-4</v>
          </cell>
          <cell r="I269">
            <v>8.5743540011337454E-4</v>
          </cell>
          <cell r="J269">
            <v>1.328727435598853E-3</v>
          </cell>
        </row>
        <row r="270">
          <cell r="A270" t="str">
            <v>D-RHNM_KEV_WOD_ELC_CHP</v>
          </cell>
          <cell r="B270" t="str">
            <v>VAR_fout</v>
          </cell>
          <cell r="C270" t="str">
            <v>ELC5</v>
          </cell>
          <cell r="H270">
            <v>8.4347891207999784E-5</v>
          </cell>
          <cell r="I270">
            <v>4.6458457979798577E-5</v>
          </cell>
          <cell r="J270">
            <v>6.6899096052469036E-5</v>
          </cell>
        </row>
        <row r="271">
          <cell r="A271" t="str">
            <v>D-RHNM_KEV_WOD_ELC_CHP</v>
          </cell>
          <cell r="B271" t="str">
            <v>VAR_fout</v>
          </cell>
          <cell r="C271" t="str">
            <v>RHNM_ELC</v>
          </cell>
          <cell r="H271">
            <v>1.2988531619134339E-4</v>
          </cell>
          <cell r="I271">
            <v>6.1034201416179131E-5</v>
          </cell>
          <cell r="J271">
            <v>1.7254285872805904E-4</v>
          </cell>
        </row>
        <row r="272">
          <cell r="A272" t="str">
            <v>D-RHNM_KEV_WOD_ELC_CHP</v>
          </cell>
          <cell r="B272" t="str">
            <v>VAR_fin</v>
          </cell>
          <cell r="C272" t="str">
            <v>RHNM_KEV_WOD_ELC_CHP</v>
          </cell>
          <cell r="H272">
            <v>2.1121489650928677E-4</v>
          </cell>
          <cell r="I272">
            <v>1.0508315597309627E-4</v>
          </cell>
          <cell r="J272">
            <v>2.373269291789026E-4</v>
          </cell>
        </row>
        <row r="273">
          <cell r="A273" t="str">
            <v>SCOM-SHLTHCHPNGA</v>
          </cell>
          <cell r="B273" t="str">
            <v>VAR_fout</v>
          </cell>
          <cell r="C273" t="str">
            <v>SCOM-SHLTHC-NGA</v>
          </cell>
          <cell r="H273"/>
          <cell r="I273"/>
          <cell r="J273"/>
        </row>
        <row r="274">
          <cell r="A274" t="str">
            <v>SCOM-SHLTHCHPNGA</v>
          </cell>
          <cell r="B274" t="str">
            <v>VAR_fin</v>
          </cell>
          <cell r="C274" t="str">
            <v>SCOMLTHCHPC</v>
          </cell>
          <cell r="H274"/>
          <cell r="I274"/>
          <cell r="J274"/>
        </row>
        <row r="275">
          <cell r="A275" t="str">
            <v>SCOM-SHLTHCHPNGA</v>
          </cell>
          <cell r="B275" t="str">
            <v>VAR_fin</v>
          </cell>
          <cell r="C275" t="str">
            <v>SCOM_LTH_CHPNGA_ON</v>
          </cell>
          <cell r="H275"/>
          <cell r="I275"/>
          <cell r="J275"/>
        </row>
        <row r="276">
          <cell r="A276" t="str">
            <v>SCOM-SHLTHCHPNGA</v>
          </cell>
          <cell r="B276" t="str">
            <v>VAR_ncap</v>
          </cell>
          <cell r="C276" t="str">
            <v>-</v>
          </cell>
          <cell r="H276">
            <v>0.34496393144854598</v>
          </cell>
          <cell r="I276">
            <v>1.11170010772119E-2</v>
          </cell>
          <cell r="J276">
            <v>2.23625707603784E-5</v>
          </cell>
        </row>
        <row r="277">
          <cell r="A277" t="str">
            <v>SCOM-SHLTHCHPNGA</v>
          </cell>
          <cell r="B277" t="str">
            <v>VAR_cap</v>
          </cell>
          <cell r="C277" t="str">
            <v>-</v>
          </cell>
          <cell r="H277">
            <v>0.35759566576547858</v>
          </cell>
          <cell r="I277">
            <v>0.35604187692622508</v>
          </cell>
          <cell r="J277">
            <v>6.4924496731982861E-5</v>
          </cell>
        </row>
        <row r="278">
          <cell r="A278" t="str">
            <v>ITOT-PROCESSCO2</v>
          </cell>
          <cell r="B278" t="str">
            <v>VAR_fout</v>
          </cell>
          <cell r="C278" t="str">
            <v>CO2</v>
          </cell>
          <cell r="H278">
            <v>2085.53495476948</v>
          </cell>
          <cell r="I278">
            <v>2077.4128471263102</v>
          </cell>
          <cell r="J278">
            <v>2063.74855625499</v>
          </cell>
        </row>
        <row r="279">
          <cell r="A279" t="str">
            <v>ITOT-PROCESSCO2</v>
          </cell>
          <cell r="B279" t="str">
            <v>VAR_fout</v>
          </cell>
          <cell r="C279" t="str">
            <v>CO2P</v>
          </cell>
          <cell r="H279">
            <v>2085.53495476948</v>
          </cell>
          <cell r="I279">
            <v>2077.4128471263102</v>
          </cell>
          <cell r="J279">
            <v>2063.74855625499</v>
          </cell>
        </row>
        <row r="280">
          <cell r="A280" t="str">
            <v>RHNM-SHWODBR</v>
          </cell>
          <cell r="B280" t="str">
            <v>VAR_fout</v>
          </cell>
          <cell r="C280" t="str">
            <v>RHNM-SHWOD</v>
          </cell>
          <cell r="H280">
            <v>0.1860307116288866</v>
          </cell>
          <cell r="I280">
            <v>0.21544122367663601</v>
          </cell>
          <cell r="J280">
            <v>0.25385684191952235</v>
          </cell>
        </row>
        <row r="281">
          <cell r="A281" t="str">
            <v>RHNM-SHWODBR</v>
          </cell>
          <cell r="B281" t="str">
            <v>VAR_fin</v>
          </cell>
          <cell r="C281" t="str">
            <v>RHNMWODBRC</v>
          </cell>
          <cell r="H281">
            <v>0.1860307116288866</v>
          </cell>
          <cell r="I281">
            <v>0.21544122367663601</v>
          </cell>
          <cell r="J281">
            <v>0.25385684191952235</v>
          </cell>
        </row>
        <row r="282">
          <cell r="A282" t="str">
            <v>RHNM-SHWODBR</v>
          </cell>
          <cell r="B282" t="str">
            <v>VAR_fin</v>
          </cell>
          <cell r="C282" t="str">
            <v>RWOD</v>
          </cell>
          <cell r="H282">
            <v>0.24928466123979928</v>
          </cell>
          <cell r="I282">
            <v>0.2880991520808065</v>
          </cell>
          <cell r="J282">
            <v>0.33947050457111311</v>
          </cell>
        </row>
        <row r="283">
          <cell r="A283" t="str">
            <v>RHNM-SHWODBR</v>
          </cell>
          <cell r="B283" t="str">
            <v>VAR_ncap</v>
          </cell>
          <cell r="C283" t="str">
            <v>-</v>
          </cell>
          <cell r="H283">
            <v>4.6584894585275101E-2</v>
          </cell>
          <cell r="I283"/>
          <cell r="J283"/>
        </row>
        <row r="284">
          <cell r="A284" t="str">
            <v>RHNM-SHWODBR</v>
          </cell>
          <cell r="B284" t="str">
            <v>VAR_cap</v>
          </cell>
          <cell r="C284" t="str">
            <v>-</v>
          </cell>
          <cell r="H284">
            <v>4.660562397361051E-2</v>
          </cell>
          <cell r="I284">
            <v>4.6586019416192531E-2</v>
          </cell>
          <cell r="J284">
            <v>1.9705155430817967E-2</v>
          </cell>
        </row>
        <row r="285">
          <cell r="A285" t="str">
            <v>RHNS-SHDEM</v>
          </cell>
          <cell r="B285" t="str">
            <v>VAR_fout</v>
          </cell>
          <cell r="C285" t="str">
            <v>RHNS-SHD</v>
          </cell>
          <cell r="H285">
            <v>3.6807626340115847</v>
          </cell>
          <cell r="I285">
            <v>4.3643140024971023</v>
          </cell>
          <cell r="J285">
            <v>5.3325984744252493</v>
          </cell>
        </row>
        <row r="286">
          <cell r="A286" t="str">
            <v>RHNS-SHDEM</v>
          </cell>
          <cell r="B286" t="str">
            <v>VAR_fin</v>
          </cell>
          <cell r="C286" t="str">
            <v>RHNS-SHLTHC-WOD</v>
          </cell>
          <cell r="H286">
            <v>1.1810063126543295E-5</v>
          </cell>
          <cell r="I286"/>
          <cell r="J286">
            <v>2.2236070947259066E-5</v>
          </cell>
        </row>
        <row r="287">
          <cell r="A287" t="str">
            <v>RHNS-SHDEM</v>
          </cell>
          <cell r="B287" t="str">
            <v>VAR_fin</v>
          </cell>
          <cell r="C287" t="str">
            <v>RHNS-SHLFO</v>
          </cell>
          <cell r="H287">
            <v>7.3622819433180803E-2</v>
          </cell>
          <cell r="I287">
            <v>7.3070535869175515E-2</v>
          </cell>
          <cell r="J287"/>
        </row>
        <row r="288">
          <cell r="A288" t="str">
            <v>RHNS-SHDEM</v>
          </cell>
          <cell r="B288" t="str">
            <v>VAR_fin</v>
          </cell>
          <cell r="C288" t="str">
            <v>RHNS-SHNGAH</v>
          </cell>
          <cell r="H288">
            <v>0.7748947908521131</v>
          </cell>
          <cell r="I288">
            <v>0.96901775482149188</v>
          </cell>
          <cell r="J288">
            <v>1.2927642451729389</v>
          </cell>
        </row>
        <row r="289">
          <cell r="A289" t="str">
            <v>RHNS-SHDEM</v>
          </cell>
          <cell r="B289" t="str">
            <v>VAR_fin</v>
          </cell>
          <cell r="C289" t="str">
            <v>RHNS-SHCON</v>
          </cell>
          <cell r="H289">
            <v>1.9258226475997518E-4</v>
          </cell>
          <cell r="I289">
            <v>4.0282326394351295E-3</v>
          </cell>
          <cell r="J289">
            <v>6.6603197117195354E-2</v>
          </cell>
        </row>
        <row r="290">
          <cell r="A290" t="str">
            <v>RHNS-SHDEM</v>
          </cell>
          <cell r="B290" t="str">
            <v>VAR_fin</v>
          </cell>
          <cell r="C290" t="str">
            <v>RHNS-SHWOD</v>
          </cell>
          <cell r="H290">
            <v>0.10850607588819461</v>
          </cell>
          <cell r="I290">
            <v>0.12571744779066055</v>
          </cell>
          <cell r="J290">
            <v>0.14388997173206558</v>
          </cell>
        </row>
        <row r="291">
          <cell r="A291" t="str">
            <v>RHNS-SHDEM</v>
          </cell>
          <cell r="B291" t="str">
            <v>VAR_fin</v>
          </cell>
          <cell r="C291" t="str">
            <v>RHNS-SHNST</v>
          </cell>
          <cell r="H291">
            <v>1.0393003468315492E-5</v>
          </cell>
          <cell r="I291">
            <v>3.0710978581734914E-5</v>
          </cell>
          <cell r="J291">
            <v>6.6647835978193404E-8</v>
          </cell>
        </row>
        <row r="292">
          <cell r="A292" t="str">
            <v>RHNS-SHDEM</v>
          </cell>
          <cell r="B292" t="str">
            <v>VAR_fin</v>
          </cell>
          <cell r="C292" t="str">
            <v>RHNS-SHPLT</v>
          </cell>
          <cell r="H292">
            <v>8.7579291673600505E-3</v>
          </cell>
          <cell r="I292">
            <v>1.1689800103203351E-2</v>
          </cell>
          <cell r="J292">
            <v>1.8130205709967033E-2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RHNS-SHLTHD</v>
          </cell>
          <cell r="H293">
            <v>8.5600150165795405E-3</v>
          </cell>
          <cell r="I293">
            <v>1.0353987033966755E-2</v>
          </cell>
          <cell r="J293">
            <v>1.2825305006654681E-2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RHNS-SHELCB</v>
          </cell>
          <cell r="H294">
            <v>2.2895661479750487E-2</v>
          </cell>
          <cell r="I294">
            <v>2.7866943205847372E-2</v>
          </cell>
          <cell r="J294">
            <v>3.2169233338058281E-2</v>
          </cell>
        </row>
        <row r="295">
          <cell r="A295" t="str">
            <v>RHNS-SHDEM</v>
          </cell>
          <cell r="B295" t="str">
            <v>VAR_fin</v>
          </cell>
          <cell r="C295" t="str">
            <v>RHNS-SHELCH</v>
          </cell>
          <cell r="H295">
            <v>2.5389004204460006</v>
          </cell>
          <cell r="I295">
            <v>2.9771876460384226</v>
          </cell>
          <cell r="J295">
            <v>3.5897457963630077</v>
          </cell>
        </row>
        <row r="296">
          <cell r="A296" t="str">
            <v>RHNS-SHDEM</v>
          </cell>
          <cell r="B296" t="str">
            <v>VAR_fin</v>
          </cell>
          <cell r="C296" t="str">
            <v>RHNS-SHSOL</v>
          </cell>
          <cell r="H296">
            <v>3.0511081406948211E-4</v>
          </cell>
          <cell r="I296">
            <v>3.8364702868885954E-4</v>
          </cell>
          <cell r="J296">
            <v>7.2632077547558525E-4</v>
          </cell>
        </row>
        <row r="297">
          <cell r="A297" t="str">
            <v>RHNS-SHDEM</v>
          </cell>
          <cell r="B297" t="str">
            <v>VAR_fin</v>
          </cell>
          <cell r="C297" t="str">
            <v>RHNS-SHLTHC-NGA</v>
          </cell>
          <cell r="H297">
            <v>1.2337046404080233E-5</v>
          </cell>
          <cell r="I297">
            <v>1.467830117080048E-6</v>
          </cell>
          <cell r="J297">
            <v>1.7253170980874965E-5</v>
          </cell>
        </row>
        <row r="298">
          <cell r="A298" t="str">
            <v>RHNS-SHDEM</v>
          </cell>
          <cell r="B298" t="str">
            <v>VAR_fin</v>
          </cell>
          <cell r="C298" t="str">
            <v>RHNS-SHNGA</v>
          </cell>
          <cell r="H298">
            <v>0.14415169362467481</v>
          </cell>
          <cell r="I298">
            <v>0.16501427169962396</v>
          </cell>
          <cell r="J298">
            <v>0.17574200366018014</v>
          </cell>
        </row>
        <row r="299">
          <cell r="A299" t="str">
            <v>RES-ELCSPEC</v>
          </cell>
          <cell r="B299" t="str">
            <v>VAR_fout</v>
          </cell>
          <cell r="C299" t="str">
            <v>RHSA-ELS</v>
          </cell>
          <cell r="H299">
            <v>50.491599059185717</v>
          </cell>
          <cell r="I299">
            <v>50.540450850409982</v>
          </cell>
          <cell r="J299">
            <v>50.053492171878581</v>
          </cell>
        </row>
        <row r="300">
          <cell r="A300" t="str">
            <v>RES-ELCSPEC</v>
          </cell>
          <cell r="B300" t="str">
            <v>VAR_fin</v>
          </cell>
          <cell r="C300" t="str">
            <v>RHSA_ELC</v>
          </cell>
          <cell r="H300">
            <v>50.491599059185717</v>
          </cell>
          <cell r="I300">
            <v>50.540450850409982</v>
          </cell>
          <cell r="J300">
            <v>50.053492171878581</v>
          </cell>
        </row>
        <row r="301">
          <cell r="A301" t="str">
            <v>RES-ELCSPEC</v>
          </cell>
          <cell r="B301" t="str">
            <v>VAR_ncap</v>
          </cell>
          <cell r="C301" t="str">
            <v>-</v>
          </cell>
          <cell r="H301">
            <v>5.0177712998432503E-2</v>
          </cell>
          <cell r="I301">
            <v>5.1640746411378696E-3</v>
          </cell>
          <cell r="J301">
            <v>4.56911248919908</v>
          </cell>
        </row>
        <row r="302">
          <cell r="A302" t="str">
            <v>RES-ELCSPEC</v>
          </cell>
          <cell r="B302" t="str">
            <v>VAR_cap</v>
          </cell>
          <cell r="C302" t="str">
            <v>-</v>
          </cell>
          <cell r="H302">
            <v>5.3369271996221244</v>
          </cell>
          <cell r="I302">
            <v>5.34209067094746</v>
          </cell>
          <cell r="J302">
            <v>5.2906192510853813</v>
          </cell>
        </row>
        <row r="303">
          <cell r="A303" t="str">
            <v>SCOM-SHCONBR1</v>
          </cell>
          <cell r="B303" t="str">
            <v>VAR_fout</v>
          </cell>
          <cell r="C303" t="str">
            <v>SCOM-SHCON</v>
          </cell>
          <cell r="H303">
            <v>1.2733882380485344</v>
          </cell>
          <cell r="I303">
            <v>2.1380637077448927</v>
          </cell>
          <cell r="J303">
            <v>2.6177928038956368</v>
          </cell>
        </row>
        <row r="304">
          <cell r="A304" t="str">
            <v>SCOM-SHCONBR1</v>
          </cell>
          <cell r="B304" t="str">
            <v>VAR_fin</v>
          </cell>
          <cell r="C304" t="str">
            <v>CON</v>
          </cell>
          <cell r="H304">
            <v>1.2733882380485344</v>
          </cell>
          <cell r="I304">
            <v>2.1380637077448927</v>
          </cell>
          <cell r="J304">
            <v>2.6177928038956368</v>
          </cell>
        </row>
        <row r="305">
          <cell r="A305" t="str">
            <v>SCOM-SHCONBR1</v>
          </cell>
          <cell r="B305" t="str">
            <v>VAR_ncap</v>
          </cell>
          <cell r="C305" t="str">
            <v>-</v>
          </cell>
          <cell r="H305">
            <v>3.8109313622994497E-8</v>
          </cell>
          <cell r="I305">
            <v>4.7957851929283001E-2</v>
          </cell>
          <cell r="J305">
            <v>8.8533095903401401E-2</v>
          </cell>
        </row>
        <row r="306">
          <cell r="A306" t="str">
            <v>SCOM-SHCONBR1</v>
          </cell>
          <cell r="B306" t="str">
            <v>VAR_cap</v>
          </cell>
          <cell r="C306" t="str">
            <v>-</v>
          </cell>
          <cell r="H306">
            <v>0.11743128089340467</v>
          </cell>
          <cell r="I306">
            <v>0.16538928116646548</v>
          </cell>
          <cell r="J306">
            <v>0.20437822485207272</v>
          </cell>
        </row>
        <row r="307">
          <cell r="A307" t="str">
            <v>RHSA-WHSTG-SOL</v>
          </cell>
          <cell r="B307" t="str">
            <v>VAR_fout</v>
          </cell>
          <cell r="C307" t="str">
            <v>RHSA-WHASOL</v>
          </cell>
          <cell r="H307">
            <v>0.41451245264328251</v>
          </cell>
          <cell r="I307">
            <v>0.44698498017108013</v>
          </cell>
          <cell r="J307">
            <v>0.5241368418259722</v>
          </cell>
        </row>
        <row r="308">
          <cell r="A308" t="str">
            <v>RHSA-WHSTG-SOL</v>
          </cell>
          <cell r="B308" t="str">
            <v>VAR_fout</v>
          </cell>
          <cell r="C308" t="str">
            <v>AUX_RHSA-WHSTG-SOL_OUT</v>
          </cell>
          <cell r="H308">
            <v>0.41492696509592519</v>
          </cell>
          <cell r="I308">
            <v>0.44743196515125083</v>
          </cell>
          <cell r="J308">
            <v>0.52466097866779826</v>
          </cell>
        </row>
        <row r="309">
          <cell r="A309" t="str">
            <v>RHSA-WHSTG-SOL</v>
          </cell>
          <cell r="B309" t="str">
            <v>VAR_fin</v>
          </cell>
          <cell r="C309" t="str">
            <v>RHSA-WHASOL</v>
          </cell>
          <cell r="H309">
            <v>0.41451749964144852</v>
          </cell>
          <cell r="I309">
            <v>0.4469879249229069</v>
          </cell>
          <cell r="J309">
            <v>0.52414071811595608</v>
          </cell>
        </row>
        <row r="310">
          <cell r="A310" t="str">
            <v>RHSA-WHSTG-SOL</v>
          </cell>
          <cell r="B310" t="str">
            <v>VAR_ncap</v>
          </cell>
          <cell r="C310" t="str">
            <v>-</v>
          </cell>
          <cell r="H310">
            <v>3.8318213414099703E-2</v>
          </cell>
          <cell r="I310">
            <v>3.0236023299636601E-2</v>
          </cell>
          <cell r="J310">
            <v>4.1614189906939401E-2</v>
          </cell>
        </row>
        <row r="311">
          <cell r="A311" t="str">
            <v>RHSA-WHSTG-SOL</v>
          </cell>
          <cell r="B311" t="str">
            <v>VAR_cap</v>
          </cell>
          <cell r="C311" t="str">
            <v>-</v>
          </cell>
          <cell r="H311">
            <v>6.3353986439116369E-2</v>
          </cell>
          <cell r="I311">
            <v>6.8554352493783402E-2</v>
          </cell>
          <cell r="J311">
            <v>7.9765884967371997E-2</v>
          </cell>
        </row>
        <row r="312">
          <cell r="A312" t="str">
            <v>SCOM-SHCONBR2</v>
          </cell>
          <cell r="B312" t="str">
            <v>VAR_fout</v>
          </cell>
          <cell r="C312" t="str">
            <v>SCOM-SHCON</v>
          </cell>
          <cell r="H312">
            <v>2.0126534440829902</v>
          </cell>
          <cell r="I312">
            <v>2.3645285693481637</v>
          </cell>
          <cell r="J312">
            <v>4.0772689809889595</v>
          </cell>
        </row>
        <row r="313">
          <cell r="A313" t="str">
            <v>SCOM-SHCONBR2</v>
          </cell>
          <cell r="B313" t="str">
            <v>VAR_fin</v>
          </cell>
          <cell r="C313" t="str">
            <v>CON</v>
          </cell>
          <cell r="H313">
            <v>2.0126534440829902</v>
          </cell>
          <cell r="I313">
            <v>2.3645285693481637</v>
          </cell>
          <cell r="J313">
            <v>4.0772689809889595</v>
          </cell>
        </row>
        <row r="314">
          <cell r="A314" t="str">
            <v>SCOM-SHCONBR2</v>
          </cell>
          <cell r="B314" t="str">
            <v>VAR_ncap</v>
          </cell>
          <cell r="C314" t="str">
            <v>-</v>
          </cell>
          <cell r="H314">
            <v>3.2188247466981797E-8</v>
          </cell>
          <cell r="I314">
            <v>3.8867872681711399E-7</v>
          </cell>
          <cell r="J314">
            <v>0.21001558486222299</v>
          </cell>
        </row>
        <row r="315">
          <cell r="A315" t="str">
            <v>SCOM-SHCONBR2</v>
          </cell>
          <cell r="B315" t="str">
            <v>VAR_cap</v>
          </cell>
          <cell r="C315" t="str">
            <v>-</v>
          </cell>
          <cell r="H315">
            <v>0.18290181785382653</v>
          </cell>
          <cell r="I315">
            <v>0.18290235562409077</v>
          </cell>
          <cell r="J315">
            <v>0.31575183148537989</v>
          </cell>
        </row>
        <row r="316">
          <cell r="A316" t="str">
            <v>SCOM-SHCONBR3</v>
          </cell>
          <cell r="B316" t="str">
            <v>VAR_fout</v>
          </cell>
          <cell r="C316" t="str">
            <v>SCOM-SHCON</v>
          </cell>
          <cell r="H316">
            <v>1.6088244135350818</v>
          </cell>
          <cell r="I316">
            <v>1.8998695310188307</v>
          </cell>
          <cell r="J316">
            <v>3.2762341967348712</v>
          </cell>
        </row>
        <row r="317">
          <cell r="A317" t="str">
            <v>SCOM-SHCONBR3</v>
          </cell>
          <cell r="B317" t="str">
            <v>VAR_fin</v>
          </cell>
          <cell r="C317" t="str">
            <v>CON</v>
          </cell>
          <cell r="H317">
            <v>1.6088244135350818</v>
          </cell>
          <cell r="I317">
            <v>1.8998695310188307</v>
          </cell>
          <cell r="J317">
            <v>3.2762341967348712</v>
          </cell>
          <cell r="L317"/>
          <cell r="M317"/>
          <cell r="N317"/>
        </row>
        <row r="318">
          <cell r="A318" t="str">
            <v>SCOM-SHCONBR3</v>
          </cell>
          <cell r="B318" t="str">
            <v>VAR_ncap</v>
          </cell>
          <cell r="C318" t="str">
            <v>-</v>
          </cell>
          <cell r="H318">
            <v>1.28142846714804E-8</v>
          </cell>
          <cell r="I318">
            <v>2.8927598755776702E-8</v>
          </cell>
          <cell r="J318">
            <v>0.168194709439037</v>
          </cell>
        </row>
        <row r="319">
          <cell r="A319" t="str">
            <v>SCOM-SHCONBR3</v>
          </cell>
          <cell r="B319" t="str">
            <v>VAR_cap</v>
          </cell>
          <cell r="C319" t="str">
            <v>-</v>
          </cell>
          <cell r="H319">
            <v>0.1469682085817425</v>
          </cell>
          <cell r="I319">
            <v>0.14696838634399426</v>
          </cell>
          <cell r="J319">
            <v>0.25315732715936601</v>
          </cell>
        </row>
        <row r="320">
          <cell r="A320" t="str">
            <v>SCOM-SHCONBR4</v>
          </cell>
          <cell r="B320" t="str">
            <v>VAR_fout</v>
          </cell>
          <cell r="C320" t="str">
            <v>SCOM-SHCON</v>
          </cell>
          <cell r="H320">
            <v>0.42190213182214492</v>
          </cell>
          <cell r="I320">
            <v>0.5220596077608558</v>
          </cell>
          <cell r="J320">
            <v>0.42167330441397938</v>
          </cell>
        </row>
        <row r="321">
          <cell r="A321" t="str">
            <v>SCOM-SHCONBR4</v>
          </cell>
          <cell r="B321" t="str">
            <v>VAR_fin</v>
          </cell>
          <cell r="C321" t="str">
            <v>CON</v>
          </cell>
          <cell r="H321">
            <v>0.42190213182214492</v>
          </cell>
          <cell r="I321">
            <v>0.5220596077608558</v>
          </cell>
          <cell r="J321">
            <v>0.42167330441397938</v>
          </cell>
        </row>
        <row r="322">
          <cell r="A322" t="str">
            <v>SCOM-SHCONBR4</v>
          </cell>
          <cell r="B322" t="str">
            <v>VAR_ncap</v>
          </cell>
          <cell r="C322" t="str">
            <v>-</v>
          </cell>
          <cell r="H322"/>
          <cell r="I322">
            <v>2.0899331693251998E-8</v>
          </cell>
          <cell r="J322">
            <v>9.2273111295703703E-3</v>
          </cell>
        </row>
        <row r="323">
          <cell r="A323" t="str">
            <v>SCOM-SHCONBR4</v>
          </cell>
          <cell r="B323" t="str">
            <v>VAR_cap</v>
          </cell>
          <cell r="C323" t="str">
            <v>-</v>
          </cell>
          <cell r="H323">
            <v>4.040167245037752E-2</v>
          </cell>
          <cell r="I323">
            <v>4.0401838721808685E-2</v>
          </cell>
          <cell r="J323">
            <v>3.2583682950064301E-2</v>
          </cell>
        </row>
        <row r="324">
          <cell r="A324" t="str">
            <v>RHEM-SHNGABR</v>
          </cell>
          <cell r="B324" t="str">
            <v>VAR_fout</v>
          </cell>
          <cell r="C324" t="str">
            <v>CO2_R</v>
          </cell>
          <cell r="H324">
            <v>886.29505784892501</v>
          </cell>
          <cell r="I324">
            <v>665.84750605342799</v>
          </cell>
          <cell r="J324">
            <v>293.40016732716799</v>
          </cell>
        </row>
        <row r="325">
          <cell r="A325" t="str">
            <v>RHEM-SHNGABR</v>
          </cell>
          <cell r="B325" t="str">
            <v>VAR_fout</v>
          </cell>
          <cell r="C325" t="str">
            <v>RHEM-SHNGA</v>
          </cell>
          <cell r="H325">
            <v>14.946282953380448</v>
          </cell>
          <cell r="I325">
            <v>11.228704415244076</v>
          </cell>
          <cell r="J325">
            <v>4.9496246404386817</v>
          </cell>
        </row>
        <row r="326">
          <cell r="A326" t="str">
            <v>RHEM-SHNGABR</v>
          </cell>
          <cell r="B326" t="str">
            <v>VAR_fin</v>
          </cell>
          <cell r="C326" t="str">
            <v>RNGA</v>
          </cell>
          <cell r="H326">
            <v>15.71445138030009</v>
          </cell>
          <cell r="I326">
            <v>11.805806844918941</v>
          </cell>
          <cell r="J326">
            <v>5.2021306263682314</v>
          </cell>
        </row>
        <row r="327">
          <cell r="A327" t="str">
            <v>RHEM-SHNGABR</v>
          </cell>
          <cell r="B327" t="str">
            <v>VAR_ncap</v>
          </cell>
          <cell r="C327" t="str">
            <v>-</v>
          </cell>
          <cell r="H327">
            <v>0.51093906996319904</v>
          </cell>
          <cell r="I327">
            <v>0.24738675734444601</v>
          </cell>
          <cell r="J327">
            <v>3.7342013835178402E-8</v>
          </cell>
        </row>
        <row r="328">
          <cell r="A328" t="str">
            <v>RHEM-SHNGABR</v>
          </cell>
          <cell r="B328" t="str">
            <v>VAR_cap</v>
          </cell>
          <cell r="C328" t="str">
            <v>-</v>
          </cell>
          <cell r="H328">
            <v>1.0554428637153372</v>
          </cell>
          <cell r="I328">
            <v>0.79290425414195109</v>
          </cell>
          <cell r="J328">
            <v>0.36027411858691016</v>
          </cell>
        </row>
        <row r="329">
          <cell r="A329" t="str">
            <v>SCOM-SHCONBR5</v>
          </cell>
          <cell r="B329" t="str">
            <v>VAR_fout</v>
          </cell>
          <cell r="C329" t="str">
            <v>SCOM-SHCON</v>
          </cell>
          <cell r="H329">
            <v>0.53140336674964916</v>
          </cell>
          <cell r="I329">
            <v>0.65163882751542079</v>
          </cell>
          <cell r="J329">
            <v>0.37725479612041923</v>
          </cell>
        </row>
        <row r="330">
          <cell r="A330" t="str">
            <v>SCOM-SHCONBR5</v>
          </cell>
          <cell r="B330" t="str">
            <v>VAR_fin</v>
          </cell>
          <cell r="C330" t="str">
            <v>CON</v>
          </cell>
          <cell r="H330">
            <v>0.53140336674964916</v>
          </cell>
          <cell r="I330">
            <v>0.65163882751542079</v>
          </cell>
          <cell r="J330">
            <v>0.37725479612041923</v>
          </cell>
        </row>
        <row r="331">
          <cell r="A331" t="str">
            <v>SCOM-SHCONBR5</v>
          </cell>
          <cell r="B331" t="str">
            <v>VAR_ncap</v>
          </cell>
          <cell r="C331" t="str">
            <v>-</v>
          </cell>
          <cell r="H331"/>
          <cell r="I331">
            <v>1.5720640744221901E-8</v>
          </cell>
          <cell r="J331">
            <v>9.7624387294815894E-8</v>
          </cell>
        </row>
        <row r="332">
          <cell r="A332" t="str">
            <v>SCOM-SHCONBR5</v>
          </cell>
          <cell r="B332" t="str">
            <v>VAR_cap</v>
          </cell>
          <cell r="C332" t="str">
            <v>-</v>
          </cell>
          <cell r="H332">
            <v>5.0425841388049224E-2</v>
          </cell>
          <cell r="I332">
            <v>5.0426003263858744E-2</v>
          </cell>
          <cell r="J332">
            <v>2.9151447166744199E-2</v>
          </cell>
        </row>
        <row r="333">
          <cell r="A333" t="str">
            <v>RHES-SHSTG-ELCHP</v>
          </cell>
          <cell r="B333" t="str">
            <v>VAR_fout</v>
          </cell>
          <cell r="C333" t="str">
            <v>RHES-SHAELCH</v>
          </cell>
          <cell r="H333">
            <v>3.3949276704293281</v>
          </cell>
          <cell r="I333">
            <v>3.7138034573949184</v>
          </cell>
          <cell r="J333">
            <v>3.7939594668649863</v>
          </cell>
        </row>
        <row r="334">
          <cell r="A334" t="str">
            <v>RHES-SHSTG-ELCHP</v>
          </cell>
          <cell r="B334" t="str">
            <v>VAR_fout</v>
          </cell>
          <cell r="C334" t="str">
            <v>AUX_RHES-SHSTG-ELCHP_OUT</v>
          </cell>
          <cell r="H334">
            <v>3.3983225980997598</v>
          </cell>
          <cell r="I334">
            <v>3.7175172608523144</v>
          </cell>
          <cell r="J334">
            <v>3.7977534263318491</v>
          </cell>
        </row>
        <row r="335">
          <cell r="A335" t="str">
            <v>RHES-SHSTG-ELCHP</v>
          </cell>
          <cell r="B335" t="str">
            <v>VAR_fin</v>
          </cell>
          <cell r="C335" t="str">
            <v>RHES-SHAELCH</v>
          </cell>
          <cell r="H335">
            <v>3.3949289706030497</v>
          </cell>
          <cell r="I335">
            <v>3.7138052002105071</v>
          </cell>
          <cell r="J335">
            <v>3.7939612693110143</v>
          </cell>
        </row>
        <row r="336">
          <cell r="A336" t="str">
            <v>RHES-SHSTG-ELCHP</v>
          </cell>
          <cell r="B336" t="str">
            <v>VAR_ncap</v>
          </cell>
          <cell r="C336" t="str">
            <v>-</v>
          </cell>
          <cell r="H336">
            <v>0.12168796118556401</v>
          </cell>
          <cell r="I336">
            <v>0.18835468996006399</v>
          </cell>
          <cell r="J336">
            <v>0.19953081276982701</v>
          </cell>
        </row>
        <row r="337">
          <cell r="A337" t="str">
            <v>RHES-SHSTG-ELCHP</v>
          </cell>
          <cell r="B337" t="str">
            <v>VAR_cap</v>
          </cell>
          <cell r="C337" t="str">
            <v>-</v>
          </cell>
          <cell r="H337">
            <v>0.35093687295153481</v>
          </cell>
          <cell r="I337">
            <v>0.36464384347814444</v>
          </cell>
          <cell r="J337">
            <v>0.38769433946246928</v>
          </cell>
        </row>
        <row r="338">
          <cell r="A338" t="str">
            <v>SCOM-SHCONBR6</v>
          </cell>
          <cell r="B338" t="str">
            <v>VAR_fout</v>
          </cell>
          <cell r="C338" t="str">
            <v>SCOM-SHCON</v>
          </cell>
          <cell r="H338">
            <v>2.1846530669678414E-5</v>
          </cell>
          <cell r="I338">
            <v>3.2129542695139841E-5</v>
          </cell>
          <cell r="J338">
            <v>6.7270385686495502E-5</v>
          </cell>
        </row>
        <row r="339">
          <cell r="A339" t="str">
            <v>SCOM-SHCONBR6</v>
          </cell>
          <cell r="B339" t="str">
            <v>VAR_fin</v>
          </cell>
          <cell r="C339" t="str">
            <v>CON</v>
          </cell>
          <cell r="H339">
            <v>2.1846530669678414E-5</v>
          </cell>
          <cell r="I339">
            <v>3.2129542695139841E-5</v>
          </cell>
          <cell r="J339">
            <v>6.7270385686495502E-5</v>
          </cell>
        </row>
        <row r="340">
          <cell r="A340" t="str">
            <v>SCOM-SHCONBR6</v>
          </cell>
          <cell r="B340" t="str">
            <v>VAR_ncap</v>
          </cell>
          <cell r="C340" t="str">
            <v>-</v>
          </cell>
          <cell r="H340">
            <v>2.4453453826127701E-6</v>
          </cell>
          <cell r="I340">
            <v>4.4107882904085999E-7</v>
          </cell>
          <cell r="J340">
            <v>2.5616987729505499E-6</v>
          </cell>
        </row>
        <row r="341">
          <cell r="A341" t="str">
            <v>SCOM-SHCONBR6</v>
          </cell>
          <cell r="B341" t="str">
            <v>VAR_cap</v>
          </cell>
          <cell r="C341" t="str">
            <v>-</v>
          </cell>
          <cell r="H341">
            <v>2.4453453826127701E-6</v>
          </cell>
          <cell r="I341">
            <v>2.8864242116536302E-6</v>
          </cell>
          <cell r="J341">
            <v>5.4481229846041699E-6</v>
          </cell>
        </row>
        <row r="342">
          <cell r="A342" t="str">
            <v>RHNM-SHDEM</v>
          </cell>
          <cell r="B342" t="str">
            <v>VAR_fout</v>
          </cell>
          <cell r="C342" t="str">
            <v>RHNM-SHD</v>
          </cell>
          <cell r="H342">
            <v>4.1741239435927699</v>
          </cell>
          <cell r="I342">
            <v>4.9766901649321609</v>
          </cell>
          <cell r="J342">
            <v>6.1406263609159497</v>
          </cell>
        </row>
        <row r="343">
          <cell r="A343" t="str">
            <v>RHNM-SHDEM</v>
          </cell>
          <cell r="B343" t="str">
            <v>VAR_fin</v>
          </cell>
          <cell r="C343" t="str">
            <v>RHNM-SHLFO</v>
          </cell>
          <cell r="H343">
            <v>0.17594970405170085</v>
          </cell>
          <cell r="I343">
            <v>0.17277645882106349</v>
          </cell>
          <cell r="J343">
            <v>3.0925068302984821E-7</v>
          </cell>
        </row>
        <row r="344">
          <cell r="A344" t="str">
            <v>RHNM-SHDEM</v>
          </cell>
          <cell r="B344" t="str">
            <v>VAR_fin</v>
          </cell>
          <cell r="C344" t="str">
            <v>RHNM-SHLTHD</v>
          </cell>
          <cell r="H344">
            <v>0.15031501067694308</v>
          </cell>
          <cell r="I344">
            <v>0.17864895017005489</v>
          </cell>
          <cell r="J344">
            <v>0.2258771016746729</v>
          </cell>
        </row>
        <row r="345">
          <cell r="A345" t="str">
            <v>RHNM-SHDEM</v>
          </cell>
          <cell r="B345" t="str">
            <v>VAR_fin</v>
          </cell>
          <cell r="C345" t="str">
            <v>RHNM-SHCON</v>
          </cell>
          <cell r="H345">
            <v>2.2321684840756063E-4</v>
          </cell>
          <cell r="I345">
            <v>9.2906883970256156E-3</v>
          </cell>
          <cell r="J345">
            <v>0.13175197357571369</v>
          </cell>
        </row>
        <row r="346">
          <cell r="A346" t="str">
            <v>RHNM-SHDEM</v>
          </cell>
          <cell r="B346" t="str">
            <v>VAR_fin</v>
          </cell>
          <cell r="C346" t="str">
            <v>RHNM-SHELCB</v>
          </cell>
          <cell r="H346">
            <v>5.1127763196280387E-3</v>
          </cell>
          <cell r="I346">
            <v>5.8963342694189087E-3</v>
          </cell>
          <cell r="J346">
            <v>7.4676273169711638E-3</v>
          </cell>
        </row>
        <row r="347">
          <cell r="A347" t="str">
            <v>RHNM-SHDEM</v>
          </cell>
          <cell r="B347" t="str">
            <v>VAR_fin</v>
          </cell>
          <cell r="C347" t="str">
            <v>RHNM-SHWOD</v>
          </cell>
          <cell r="H347">
            <v>0.18599606090500895</v>
          </cell>
          <cell r="I347">
            <v>0.21541270618449052</v>
          </cell>
          <cell r="J347">
            <v>0.25383753691691929</v>
          </cell>
        </row>
        <row r="348">
          <cell r="A348" t="str">
            <v>RHNM-SHDEM</v>
          </cell>
          <cell r="B348" t="str">
            <v>VAR_fin</v>
          </cell>
          <cell r="C348" t="str">
            <v>RHNM-SHELCH</v>
          </cell>
          <cell r="H348">
            <v>2.2429026526843892</v>
          </cell>
          <cell r="I348">
            <v>2.680640703795703</v>
          </cell>
          <cell r="J348">
            <v>3.373664007749245</v>
          </cell>
        </row>
        <row r="349">
          <cell r="A349" t="str">
            <v>RHNM-SHDEM</v>
          </cell>
          <cell r="B349" t="str">
            <v>VAR_fin</v>
          </cell>
          <cell r="C349" t="str">
            <v>RHNM-SHNST</v>
          </cell>
          <cell r="H349">
            <v>1.4012379516152966E-5</v>
          </cell>
          <cell r="I349">
            <v>5.4170884951100428E-6</v>
          </cell>
          <cell r="J349">
            <v>2.3245929055720087E-5</v>
          </cell>
        </row>
        <row r="350">
          <cell r="A350" t="str">
            <v>RHNM-SHDEM</v>
          </cell>
          <cell r="B350" t="str">
            <v>VAR_fin</v>
          </cell>
          <cell r="C350" t="str">
            <v>RHNM-SHPLT</v>
          </cell>
          <cell r="H350">
            <v>5.2528026970092408E-2</v>
          </cell>
          <cell r="I350">
            <v>6.4687331861029873E-2</v>
          </cell>
          <cell r="J350">
            <v>9.3476950925673694E-2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RHNM-SHLTHC-NGA</v>
          </cell>
          <cell r="H351">
            <v>1.3849278042645815E-5</v>
          </cell>
          <cell r="I351">
            <v>1.8672934987122447E-5</v>
          </cell>
          <cell r="J351">
            <v>1.6362613460215159E-7</v>
          </cell>
        </row>
        <row r="352">
          <cell r="A352" t="str">
            <v>RHNM-SHDEM</v>
          </cell>
          <cell r="B352" t="str">
            <v>VAR_fin</v>
          </cell>
          <cell r="C352" t="str">
            <v>RHNM-SHSOL</v>
          </cell>
          <cell r="H352">
            <v>7.6600693724808005E-5</v>
          </cell>
          <cell r="I352">
            <v>8.0399616660387291E-5</v>
          </cell>
          <cell r="J352">
            <v>1.9867214092749531E-4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RHNM-SHLTHC-WOD</v>
          </cell>
          <cell r="H353">
            <v>1.1040390422385228E-5</v>
          </cell>
          <cell r="I353">
            <v>1.0143789042629521E-5</v>
          </cell>
          <cell r="J353">
            <v>9.8541819632105287E-7</v>
          </cell>
        </row>
        <row r="354">
          <cell r="A354" t="str">
            <v>RHNM-SHDEM</v>
          </cell>
          <cell r="B354" t="str">
            <v>VAR_fin</v>
          </cell>
          <cell r="C354" t="str">
            <v>RHNM-SHNGAH</v>
          </cell>
          <cell r="H354">
            <v>1.0223486806816493</v>
          </cell>
          <cell r="I354">
            <v>1.2821651295889835</v>
          </cell>
          <cell r="J354">
            <v>1.7478899045216192</v>
          </cell>
        </row>
        <row r="355">
          <cell r="A355" t="str">
            <v>RHNM-SHDEM</v>
          </cell>
          <cell r="B355" t="str">
            <v>VAR_fin</v>
          </cell>
          <cell r="C355" t="str">
            <v>RHNM-SHNGA</v>
          </cell>
          <cell r="H355">
            <v>0.33869210157329482</v>
          </cell>
          <cell r="I355">
            <v>0.36710684814398842</v>
          </cell>
          <cell r="J355">
            <v>0.30647627896943386</v>
          </cell>
        </row>
        <row r="356">
          <cell r="A356" t="str">
            <v>SCOM-STG-ELCSPEC</v>
          </cell>
          <cell r="B356" t="str">
            <v>VAR_fout</v>
          </cell>
          <cell r="C356" t="str">
            <v>SCOM-ELS</v>
          </cell>
          <cell r="H356">
            <v>2.4490338018618228E-3</v>
          </cell>
          <cell r="I356">
            <v>2.4563380137722808E-3</v>
          </cell>
          <cell r="J356">
            <v>2.4539163956674983E-3</v>
          </cell>
        </row>
        <row r="357">
          <cell r="A357" t="str">
            <v>SCOM-STG-ELCSPEC</v>
          </cell>
          <cell r="B357" t="str">
            <v>VAR_fin</v>
          </cell>
          <cell r="C357" t="str">
            <v>SCOM-ELS</v>
          </cell>
          <cell r="H357">
            <v>2.4491933106816732E-3</v>
          </cell>
          <cell r="I357">
            <v>2.4566933298934162E-3</v>
          </cell>
          <cell r="J357">
            <v>2.4540943093511731E-3</v>
          </cell>
        </row>
        <row r="358">
          <cell r="A358" t="str">
            <v>SCOM-STG-ELCSPEC</v>
          </cell>
          <cell r="B358" t="str">
            <v>VAR_ncap</v>
          </cell>
          <cell r="C358" t="str">
            <v>-</v>
          </cell>
          <cell r="H358">
            <v>5.8462815230118695E-7</v>
          </cell>
          <cell r="I358">
            <v>4.3696138072869798E-5</v>
          </cell>
          <cell r="J358">
            <v>4.79964572326235E-5</v>
          </cell>
        </row>
        <row r="359">
          <cell r="A359" t="str">
            <v>SCOM-STG-ELCSPEC</v>
          </cell>
          <cell r="B359" t="str">
            <v>VAR_cap</v>
          </cell>
          <cell r="C359" t="str">
            <v>-</v>
          </cell>
          <cell r="H359">
            <v>9.1957607909693112E-5</v>
          </cell>
          <cell r="I359">
            <v>9.2022681513847723E-5</v>
          </cell>
          <cell r="J359">
            <v>9.2100320084347525E-5</v>
          </cell>
        </row>
        <row r="360">
          <cell r="A360" t="str">
            <v>SCOM-SHCONBR7</v>
          </cell>
          <cell r="B360" t="str">
            <v>VAR_fout</v>
          </cell>
          <cell r="C360" t="str">
            <v>SCOM-SHCON</v>
          </cell>
          <cell r="H360"/>
          <cell r="I360"/>
          <cell r="J360">
            <v>2.9520604059319629E-5</v>
          </cell>
        </row>
        <row r="361">
          <cell r="A361" t="str">
            <v>SCOM-SHCONBR7</v>
          </cell>
          <cell r="B361" t="str">
            <v>VAR_fin</v>
          </cell>
          <cell r="C361" t="str">
            <v>CON</v>
          </cell>
          <cell r="H361"/>
          <cell r="I361"/>
          <cell r="J361">
            <v>2.9520604059319629E-5</v>
          </cell>
        </row>
        <row r="362">
          <cell r="A362" t="str">
            <v>SCOM-SHCONBR7</v>
          </cell>
          <cell r="B362" t="str">
            <v>VAR_ncap</v>
          </cell>
          <cell r="C362" t="str">
            <v>-</v>
          </cell>
          <cell r="H362"/>
          <cell r="I362"/>
          <cell r="J362">
            <v>2.3125622914363598E-6</v>
          </cell>
        </row>
        <row r="363">
          <cell r="A363" t="str">
            <v>SCOM-SHCONBR7</v>
          </cell>
          <cell r="B363" t="str">
            <v>VAR_cap</v>
          </cell>
          <cell r="C363" t="str">
            <v>-</v>
          </cell>
          <cell r="H363"/>
          <cell r="I363"/>
          <cell r="J363">
            <v>2.3125622914363598E-6</v>
          </cell>
        </row>
        <row r="364">
          <cell r="A364" t="str">
            <v>SCOM-SHCONBR8</v>
          </cell>
          <cell r="B364" t="str">
            <v>VAR_fout</v>
          </cell>
          <cell r="C364" t="str">
            <v>SCOM-SHCON</v>
          </cell>
          <cell r="H364"/>
          <cell r="I364"/>
          <cell r="J364">
            <v>7.0757387277226185E-6</v>
          </cell>
        </row>
        <row r="365">
          <cell r="A365" t="str">
            <v>SCOM-SHCONBR8</v>
          </cell>
          <cell r="B365" t="str">
            <v>VAR_fin</v>
          </cell>
          <cell r="C365" t="str">
            <v>CON</v>
          </cell>
          <cell r="H365"/>
          <cell r="I365"/>
          <cell r="J365">
            <v>7.0757387277226185E-6</v>
          </cell>
        </row>
        <row r="366">
          <cell r="A366" t="str">
            <v>SCOM-SHCONBR8</v>
          </cell>
          <cell r="B366" t="str">
            <v>VAR_ncap</v>
          </cell>
          <cell r="C366" t="str">
            <v>-</v>
          </cell>
          <cell r="H366"/>
          <cell r="I366"/>
          <cell r="J366">
            <v>3.9920212485349698E-7</v>
          </cell>
        </row>
        <row r="367">
          <cell r="A367" t="str">
            <v>SCOM-SHCONBR8</v>
          </cell>
          <cell r="B367" t="str">
            <v>VAR_cap</v>
          </cell>
          <cell r="C367" t="str">
            <v>-</v>
          </cell>
          <cell r="H367"/>
          <cell r="I367"/>
          <cell r="J367">
            <v>3.9920212485349698E-7</v>
          </cell>
        </row>
        <row r="368">
          <cell r="A368" t="str">
            <v>ITOT-ELCSPEC</v>
          </cell>
          <cell r="B368" t="str">
            <v>VAR_fout</v>
          </cell>
          <cell r="C368" t="str">
            <v>ITOT-ELS</v>
          </cell>
          <cell r="H368">
            <v>53.920381046358969</v>
          </cell>
          <cell r="I368">
            <v>54.412101571588899</v>
          </cell>
          <cell r="J368">
            <v>55.894200936222823</v>
          </cell>
        </row>
        <row r="369">
          <cell r="A369" t="str">
            <v>ITOT-ELCSPEC</v>
          </cell>
          <cell r="B369" t="str">
            <v>VAR_fin</v>
          </cell>
          <cell r="C369" t="str">
            <v>ITOT_ELC</v>
          </cell>
          <cell r="H369">
            <v>53.920381046358969</v>
          </cell>
          <cell r="I369">
            <v>54.412101571588899</v>
          </cell>
          <cell r="J369">
            <v>55.894200936222823</v>
          </cell>
        </row>
        <row r="370">
          <cell r="A370" t="str">
            <v>ITOT-ELCSPEC</v>
          </cell>
          <cell r="B370" t="str">
            <v>VAR_ncap</v>
          </cell>
          <cell r="C370" t="str">
            <v>-</v>
          </cell>
          <cell r="H370">
            <v>4.6960729085910501E-2</v>
          </cell>
          <cell r="I370">
            <v>2.67415697224005E-2</v>
          </cell>
          <cell r="J370">
            <v>2.6122658228559601</v>
          </cell>
        </row>
        <row r="371">
          <cell r="A371" t="str">
            <v>ITOT-ELCSPEC</v>
          </cell>
          <cell r="B371" t="str">
            <v>VAR_cap</v>
          </cell>
          <cell r="C371" t="str">
            <v>-</v>
          </cell>
          <cell r="H371">
            <v>2.9323436181130496</v>
          </cell>
          <cell r="I371">
            <v>2.9590847028074241</v>
          </cell>
          <cell r="J371">
            <v>3.0396853863944666</v>
          </cell>
        </row>
        <row r="372">
          <cell r="A372" t="str">
            <v>RHNM-SHLTHDH</v>
          </cell>
          <cell r="B372" t="str">
            <v>VAR_fout</v>
          </cell>
          <cell r="C372" t="str">
            <v>RHNM-SHLTHD</v>
          </cell>
          <cell r="H372">
            <v>0.15036163137318628</v>
          </cell>
          <cell r="I372">
            <v>0.17869041756650694</v>
          </cell>
          <cell r="J372">
            <v>0.22590886842018218</v>
          </cell>
        </row>
        <row r="373">
          <cell r="A373" t="str">
            <v>RHNM-SHLTHDH</v>
          </cell>
          <cell r="B373" t="str">
            <v>VAR_fin</v>
          </cell>
          <cell r="C373" t="str">
            <v>RHNMLTHDHC</v>
          </cell>
          <cell r="H373">
            <v>0.15036163137318628</v>
          </cell>
          <cell r="I373">
            <v>0.17869041756650694</v>
          </cell>
          <cell r="J373">
            <v>0.22590886842018218</v>
          </cell>
        </row>
        <row r="374">
          <cell r="A374" t="str">
            <v>RHNM-SHLTHDH</v>
          </cell>
          <cell r="B374" t="str">
            <v>VAR_fin</v>
          </cell>
          <cell r="C374" t="str">
            <v>RHNM_LTH_DH</v>
          </cell>
          <cell r="H374">
            <v>0.16560633985251541</v>
          </cell>
          <cell r="I374">
            <v>0.1965331157589281</v>
          </cell>
          <cell r="J374">
            <v>0.24846645048365507</v>
          </cell>
        </row>
        <row r="375">
          <cell r="A375" t="str">
            <v>RHNM-SHLTHDH</v>
          </cell>
          <cell r="B375" t="str">
            <v>VAR_ncap</v>
          </cell>
          <cell r="C375" t="str">
            <v>-</v>
          </cell>
          <cell r="H375">
            <v>2.2591295860295801E-2</v>
          </cell>
          <cell r="I375">
            <v>6.9586604008058401E-3</v>
          </cell>
          <cell r="J375">
            <v>9.3085752934047802E-4</v>
          </cell>
        </row>
        <row r="376">
          <cell r="A376" t="str">
            <v>RHNM-SHLTHDH</v>
          </cell>
          <cell r="B376" t="str">
            <v>VAR_cap</v>
          </cell>
          <cell r="C376" t="str">
            <v>-</v>
          </cell>
          <cell r="H376">
            <v>5.5428287086412301E-2</v>
          </cell>
          <cell r="I376">
            <v>5.8152420800939603E-2</v>
          </cell>
          <cell r="J376">
            <v>2.0946915340169001E-2</v>
          </cell>
        </row>
        <row r="377">
          <cell r="A377" t="str">
            <v>SCOM-SHCONBR9</v>
          </cell>
          <cell r="B377" t="str">
            <v>VAR_fout</v>
          </cell>
          <cell r="C377" t="str">
            <v>SCOM-SHCON</v>
          </cell>
          <cell r="H377"/>
          <cell r="I377"/>
          <cell r="J377">
            <v>1.4442720719584761E-6</v>
          </cell>
        </row>
        <row r="378">
          <cell r="A378" t="str">
            <v>SCOM-SHCONBR9</v>
          </cell>
          <cell r="B378" t="str">
            <v>VAR_fin</v>
          </cell>
          <cell r="C378" t="str">
            <v>CON</v>
          </cell>
          <cell r="H378"/>
          <cell r="I378"/>
          <cell r="J378">
            <v>1.4442720719584761E-6</v>
          </cell>
        </row>
        <row r="379">
          <cell r="A379" t="str">
            <v>SCOM-SHCONBR9</v>
          </cell>
          <cell r="B379" t="str">
            <v>VAR_ncap</v>
          </cell>
          <cell r="C379" t="str">
            <v>-</v>
          </cell>
          <cell r="H379"/>
          <cell r="I379"/>
          <cell r="J379">
            <v>4.7601484449892801E-8</v>
          </cell>
        </row>
        <row r="380">
          <cell r="A380" t="str">
            <v>SCOM-SHCONBR9</v>
          </cell>
          <cell r="B380" t="str">
            <v>VAR_cap</v>
          </cell>
          <cell r="C380" t="str">
            <v>-</v>
          </cell>
          <cell r="H380"/>
          <cell r="I380"/>
          <cell r="J380">
            <v>4.7601484449892801E-8</v>
          </cell>
        </row>
        <row r="381">
          <cell r="A381" t="str">
            <v>ITOT-SWHCOABR</v>
          </cell>
          <cell r="B381" t="str">
            <v>VAR_fout</v>
          </cell>
          <cell r="C381" t="str">
            <v>ITOT-SWH</v>
          </cell>
          <cell r="H381">
            <v>1.2349833989731607E-4</v>
          </cell>
          <cell r="I381">
            <v>5.127687389387062E-5</v>
          </cell>
          <cell r="J381">
            <v>1.9230770497757186E-4</v>
          </cell>
        </row>
        <row r="382">
          <cell r="A382" t="str">
            <v>ITOT-SWHCOABR</v>
          </cell>
          <cell r="B382" t="str">
            <v>VAR_fout</v>
          </cell>
          <cell r="C382" t="str">
            <v>CO2_I</v>
          </cell>
          <cell r="H382">
            <v>1.70234886371468E-2</v>
          </cell>
          <cell r="I382">
            <v>7.0420240147582398E-3</v>
          </cell>
          <cell r="J382">
            <v>2.6216065075619001E-2</v>
          </cell>
        </row>
        <row r="383">
          <cell r="A383" t="str">
            <v>ITOT-SWHCOABR</v>
          </cell>
          <cell r="B383" t="str">
            <v>VAR_fin</v>
          </cell>
          <cell r="C383" t="str">
            <v>ICOA</v>
          </cell>
          <cell r="H383">
            <v>1.8364065412240321E-4</v>
          </cell>
          <cell r="I383">
            <v>7.596573910203059E-5</v>
          </cell>
          <cell r="J383">
            <v>2.8280544849642935E-4</v>
          </cell>
        </row>
        <row r="384">
          <cell r="A384" t="str">
            <v>ITOT-SWHCOABR</v>
          </cell>
          <cell r="B384" t="str">
            <v>VAR_ncap</v>
          </cell>
          <cell r="C384" t="str">
            <v>-</v>
          </cell>
          <cell r="H384">
            <v>8.2601351351848099E-6</v>
          </cell>
          <cell r="I384">
            <v>8.6995537510456499E-7</v>
          </cell>
          <cell r="J384">
            <v>1.6114223670744098E-5</v>
          </cell>
        </row>
        <row r="385">
          <cell r="A385" t="str">
            <v>ITOT-SWHCOABR</v>
          </cell>
          <cell r="B385" t="str">
            <v>VAR_cap</v>
          </cell>
          <cell r="C385" t="str">
            <v>-</v>
          </cell>
          <cell r="H385">
            <v>1.1597239369554035E-5</v>
          </cell>
          <cell r="I385">
            <v>4.8614359873562798E-6</v>
          </cell>
          <cell r="J385">
            <v>1.8159771231495029E-5</v>
          </cell>
        </row>
        <row r="386">
          <cell r="A386" t="str">
            <v>RHSA-WHDEM</v>
          </cell>
          <cell r="B386" t="str">
            <v>VAR_fout</v>
          </cell>
          <cell r="C386" t="str">
            <v>RHSA-WHD</v>
          </cell>
          <cell r="H386">
            <v>23.857724991727501</v>
          </cell>
          <cell r="I386">
            <v>25.582305742240475</v>
          </cell>
          <cell r="J386">
            <v>29.056866756501503</v>
          </cell>
        </row>
        <row r="387">
          <cell r="A387" t="str">
            <v>RHSA-WHDEM</v>
          </cell>
          <cell r="B387" t="str">
            <v>VAR_fin</v>
          </cell>
          <cell r="C387" t="str">
            <v>RHSA-WHNGA</v>
          </cell>
          <cell r="H387">
            <v>3.6415094161092263</v>
          </cell>
          <cell r="I387">
            <v>3.0410858146769568</v>
          </cell>
          <cell r="J387">
            <v>1.9312550066869301</v>
          </cell>
        </row>
        <row r="388">
          <cell r="A388" t="str">
            <v>RHSA-WHDEM</v>
          </cell>
          <cell r="B388" t="str">
            <v>VAR_fin</v>
          </cell>
          <cell r="C388" t="str">
            <v>RHSA-WHLFO</v>
          </cell>
          <cell r="H388">
            <v>2.2348972135460441</v>
          </cell>
          <cell r="I388">
            <v>1.7873449806235704</v>
          </cell>
          <cell r="J388">
            <v>0.82112510903366021</v>
          </cell>
        </row>
        <row r="389">
          <cell r="A389" t="str">
            <v>RHSA-WHDEM</v>
          </cell>
          <cell r="B389" t="str">
            <v>VAR_fin</v>
          </cell>
          <cell r="C389" t="str">
            <v>RHSA-WHWOD</v>
          </cell>
          <cell r="H389">
            <v>1.2375643147897153</v>
          </cell>
          <cell r="I389">
            <v>1.2541092454521241</v>
          </cell>
          <cell r="J389">
            <v>1.2243537136065987</v>
          </cell>
        </row>
        <row r="390">
          <cell r="A390" t="str">
            <v>RHSA-WHDEM</v>
          </cell>
          <cell r="B390" t="str">
            <v>VAR_fin</v>
          </cell>
          <cell r="C390" t="str">
            <v>RHSA-WHNGAH</v>
          </cell>
          <cell r="H390">
            <v>3.2686098556757992</v>
          </cell>
          <cell r="I390">
            <v>4.1964553843596031</v>
          </cell>
          <cell r="J390">
            <v>6.0930670931973072</v>
          </cell>
        </row>
        <row r="391">
          <cell r="A391" t="str">
            <v>RHSA-WHDEM</v>
          </cell>
          <cell r="B391" t="str">
            <v>VAR_fin</v>
          </cell>
          <cell r="C391" t="str">
            <v>RHSA-WHNST</v>
          </cell>
          <cell r="H391"/>
          <cell r="I391"/>
          <cell r="J391"/>
        </row>
        <row r="392">
          <cell r="A392" t="str">
            <v>RHSA-WHDEM</v>
          </cell>
          <cell r="B392" t="str">
            <v>VAR_fin</v>
          </cell>
          <cell r="C392" t="str">
            <v>RHSA-WHPLT</v>
          </cell>
          <cell r="H392">
            <v>0.18272551194355457</v>
          </cell>
          <cell r="I392">
            <v>0.2230991981616823</v>
          </cell>
          <cell r="J392">
            <v>0.30616228905193338</v>
          </cell>
        </row>
        <row r="393">
          <cell r="A393" t="str">
            <v>RHSA-WHDEM</v>
          </cell>
          <cell r="B393" t="str">
            <v>VAR_fin</v>
          </cell>
          <cell r="C393" t="str">
            <v>RHSA-WHLTHRD</v>
          </cell>
          <cell r="H393">
            <v>1.3268394302812854</v>
          </cell>
          <cell r="I393">
            <v>1.4469603695160016</v>
          </cell>
          <cell r="J393">
            <v>1.6804149143713307</v>
          </cell>
        </row>
        <row r="394">
          <cell r="A394" t="str">
            <v>RHSA-WHDEM</v>
          </cell>
          <cell r="B394" t="str">
            <v>VAR_fin</v>
          </cell>
          <cell r="C394" t="str">
            <v>RHSA-WHELCB</v>
          </cell>
          <cell r="H394">
            <v>1.9605185927800419</v>
          </cell>
          <cell r="I394">
            <v>1.8871441128252429</v>
          </cell>
          <cell r="J394">
            <v>1.6960934970701447</v>
          </cell>
        </row>
        <row r="395">
          <cell r="A395" t="str">
            <v>RHSA-WHDEM</v>
          </cell>
          <cell r="B395" t="str">
            <v>VAR_fin</v>
          </cell>
          <cell r="C395" t="str">
            <v>RHSA-WHSOL</v>
          </cell>
          <cell r="H395">
            <v>1.1916260728001524</v>
          </cell>
          <cell r="I395">
            <v>1.2853355422492125</v>
          </cell>
          <cell r="J395">
            <v>1.4830688635350617</v>
          </cell>
        </row>
        <row r="396">
          <cell r="A396" t="str">
            <v>RHSA-WHDEM</v>
          </cell>
          <cell r="B396" t="str">
            <v>VAR_fin</v>
          </cell>
          <cell r="C396" t="str">
            <v>RHSA-WHELCH</v>
          </cell>
          <cell r="H396">
            <v>8.8134615200190201</v>
          </cell>
          <cell r="I396">
            <v>10.46079494561617</v>
          </cell>
          <cell r="J396">
            <v>13.821349032031979</v>
          </cell>
        </row>
        <row r="397">
          <cell r="A397" t="str">
            <v>RHSA-WHNGAHP</v>
          </cell>
          <cell r="B397" t="str">
            <v>VAR_fout</v>
          </cell>
          <cell r="C397" t="str">
            <v>RHSA-WHANGAH</v>
          </cell>
          <cell r="H397">
            <v>3.2686099607089503</v>
          </cell>
          <cell r="I397">
            <v>4.1964544641727155</v>
          </cell>
          <cell r="J397">
            <v>6.0930673426950994</v>
          </cell>
        </row>
        <row r="398">
          <cell r="A398" t="str">
            <v>RHSA-WHNGAHP</v>
          </cell>
          <cell r="B398" t="str">
            <v>VAR_fout</v>
          </cell>
          <cell r="C398" t="str">
            <v>CO2_R</v>
          </cell>
          <cell r="H398">
            <v>81.184611238116403</v>
          </cell>
          <cell r="I398">
            <v>100.612078699251</v>
          </cell>
          <cell r="J398">
            <v>135.903036731935</v>
          </cell>
        </row>
        <row r="399">
          <cell r="A399" t="str">
            <v>RHSA-WHNGAHP</v>
          </cell>
          <cell r="B399" t="str">
            <v>VAR_fin</v>
          </cell>
          <cell r="C399" t="str">
            <v>RNGA</v>
          </cell>
          <cell r="H399">
            <v>1.4394434616687313</v>
          </cell>
          <cell r="I399">
            <v>1.7839021045966461</v>
          </cell>
          <cell r="J399">
            <v>2.4096283108499206</v>
          </cell>
        </row>
        <row r="400">
          <cell r="A400" t="str">
            <v>RHSA-WHNGAHP</v>
          </cell>
          <cell r="B400" t="str">
            <v>VAR_ncap</v>
          </cell>
          <cell r="C400" t="str">
            <v>-</v>
          </cell>
          <cell r="H400">
            <v>7.8304969463586394E-2</v>
          </cell>
          <cell r="I400">
            <v>0.13949401098700101</v>
          </cell>
          <cell r="J400">
            <v>0.28210106583608902</v>
          </cell>
        </row>
        <row r="401">
          <cell r="A401" t="str">
            <v>RHSA-WHNGAHP</v>
          </cell>
          <cell r="B401" t="str">
            <v>VAR_cap</v>
          </cell>
          <cell r="C401" t="str">
            <v>-</v>
          </cell>
          <cell r="H401">
            <v>0.22340912191362211</v>
          </cell>
          <cell r="I401">
            <v>0.28682690095874486</v>
          </cell>
          <cell r="J401">
            <v>0.41645910829575783</v>
          </cell>
        </row>
        <row r="402">
          <cell r="A402" t="str">
            <v>SCOM-SHSTG-ELCHP</v>
          </cell>
          <cell r="B402" t="str">
            <v>VAR_fout</v>
          </cell>
          <cell r="C402" t="str">
            <v>SCOM-SHAELCH</v>
          </cell>
          <cell r="H402">
            <v>5.4438910040386066E-6</v>
          </cell>
          <cell r="I402">
            <v>4.3797277989037791E-6</v>
          </cell>
          <cell r="J402">
            <v>2.7492118124796776E-7</v>
          </cell>
        </row>
        <row r="403">
          <cell r="A403" t="str">
            <v>SCOM-SHSTG-ELCHP</v>
          </cell>
          <cell r="B403" t="str">
            <v>VAR_fin</v>
          </cell>
          <cell r="C403" t="str">
            <v>SCOM-SHAELCH</v>
          </cell>
          <cell r="H403">
            <v>6.0202398632308036E-6</v>
          </cell>
          <cell r="I403">
            <v>4.9103819705618412E-6</v>
          </cell>
          <cell r="J403"/>
        </row>
        <row r="404">
          <cell r="A404" t="str">
            <v>SCOM-SHSTG-ELCHP</v>
          </cell>
          <cell r="B404" t="str">
            <v>VAR_ncap</v>
          </cell>
          <cell r="C404" t="str">
            <v>-</v>
          </cell>
          <cell r="H404">
            <v>8.9420390114893403E-2</v>
          </cell>
          <cell r="I404">
            <v>0.10004832945016</v>
          </cell>
          <cell r="J404">
            <v>0.18016152934028601</v>
          </cell>
        </row>
        <row r="405">
          <cell r="A405" t="str">
            <v>SCOM-SHSTG-ELCHP</v>
          </cell>
          <cell r="B405" t="str">
            <v>VAR_cap</v>
          </cell>
          <cell r="C405" t="str">
            <v>-</v>
          </cell>
          <cell r="H405">
            <v>0.17608578583532838</v>
          </cell>
          <cell r="I405">
            <v>0.21357460731696984</v>
          </cell>
          <cell r="J405">
            <v>0.2905855598287877</v>
          </cell>
        </row>
        <row r="406">
          <cell r="A406" t="str">
            <v>RHEM-SHLFOBR</v>
          </cell>
          <cell r="B406" t="str">
            <v>VAR_fout</v>
          </cell>
          <cell r="C406" t="str">
            <v>CO2_R</v>
          </cell>
          <cell r="H406">
            <v>873.80735560864105</v>
          </cell>
          <cell r="I406">
            <v>661.727631060666</v>
          </cell>
          <cell r="J406">
            <v>221.32245515513699</v>
          </cell>
        </row>
        <row r="407">
          <cell r="A407" t="str">
            <v>RHEM-SHLFOBR</v>
          </cell>
          <cell r="B407" t="str">
            <v>VAR_fout</v>
          </cell>
          <cell r="C407" t="str">
            <v>RHEM-SHLFO</v>
          </cell>
          <cell r="H407">
            <v>10.465420010808211</v>
          </cell>
          <cell r="I407">
            <v>7.9513623598498784</v>
          </cell>
          <cell r="J407">
            <v>2.6681291550106883</v>
          </cell>
        </row>
        <row r="408">
          <cell r="A408" t="str">
            <v>RHEM-SHLFOBR</v>
          </cell>
          <cell r="B408" t="str">
            <v>VAR_fin</v>
          </cell>
          <cell r="C408" t="str">
            <v>RLFO</v>
          </cell>
          <cell r="H408">
            <v>11.856273481799731</v>
          </cell>
          <cell r="I408">
            <v>8.978665278977827</v>
          </cell>
          <cell r="J408">
            <v>3.0030183874509802</v>
          </cell>
        </row>
        <row r="409">
          <cell r="A409" t="str">
            <v>RHEM-SHLFOBR</v>
          </cell>
          <cell r="B409" t="str">
            <v>VAR_ncap</v>
          </cell>
          <cell r="C409" t="str">
            <v>-</v>
          </cell>
          <cell r="H409">
            <v>0.30959999943421401</v>
          </cell>
          <cell r="I409">
            <v>0.25187752636189797</v>
          </cell>
          <cell r="J409">
            <v>2.1164574908760699E-8</v>
          </cell>
        </row>
        <row r="410">
          <cell r="A410" t="str">
            <v>RHEM-SHLFOBR</v>
          </cell>
          <cell r="B410" t="str">
            <v>VAR_cap</v>
          </cell>
          <cell r="C410" t="str">
            <v>-</v>
          </cell>
          <cell r="H410">
            <v>0.73902456435812358</v>
          </cell>
          <cell r="I410">
            <v>0.56147750584229406</v>
          </cell>
          <cell r="J410">
            <v>0.2293283616554935</v>
          </cell>
        </row>
        <row r="411">
          <cell r="A411" t="str">
            <v>RHES-SHNGAHP</v>
          </cell>
          <cell r="B411" t="str">
            <v>VAR_fout</v>
          </cell>
          <cell r="C411" t="str">
            <v>RHES-SHANGAH</v>
          </cell>
          <cell r="H411">
            <v>5.2203312180204264</v>
          </cell>
          <cell r="I411">
            <v>6.0782060142977317</v>
          </cell>
          <cell r="J411">
            <v>7.6288718191773581</v>
          </cell>
        </row>
        <row r="412">
          <cell r="A412" t="str">
            <v>RHES-SHNGAHP</v>
          </cell>
          <cell r="B412" t="str">
            <v>VAR_fout</v>
          </cell>
          <cell r="C412" t="str">
            <v>CO2_R</v>
          </cell>
          <cell r="H412">
            <v>154.79624732702001</v>
          </cell>
          <cell r="I412">
            <v>177.79105222054699</v>
          </cell>
          <cell r="J412">
            <v>217.431840647961</v>
          </cell>
        </row>
        <row r="413">
          <cell r="A413" t="str">
            <v>RHES-SHNGAHP</v>
          </cell>
          <cell r="B413" t="str">
            <v>VAR_fin</v>
          </cell>
          <cell r="C413" t="str">
            <v>RHESELCHPC</v>
          </cell>
          <cell r="H413">
            <v>5.2203312180204264</v>
          </cell>
          <cell r="I413">
            <v>6.0782060142977317</v>
          </cell>
          <cell r="J413">
            <v>7.6288718191773581</v>
          </cell>
        </row>
        <row r="414">
          <cell r="A414" t="str">
            <v>RHES-SHNGAHP</v>
          </cell>
          <cell r="B414" t="str">
            <v>VAR_fin</v>
          </cell>
          <cell r="C414" t="str">
            <v>RNGA</v>
          </cell>
          <cell r="H414">
            <v>2.7446143143088624</v>
          </cell>
          <cell r="I414">
            <v>3.1523236209316767</v>
          </cell>
          <cell r="J414">
            <v>3.8551744795737894</v>
          </cell>
        </row>
        <row r="415">
          <cell r="A415" t="str">
            <v>RHES-SHNGAHP</v>
          </cell>
          <cell r="B415" t="str">
            <v>VAR_ncap</v>
          </cell>
          <cell r="C415" t="str">
            <v>-</v>
          </cell>
          <cell r="H415">
            <v>0.10440322583379</v>
          </cell>
          <cell r="I415">
            <v>0.25232242803892801</v>
          </cell>
          <cell r="J415">
            <v>0.38903889860277402</v>
          </cell>
        </row>
        <row r="416">
          <cell r="A416" t="str">
            <v>RHES-SHNGAHP</v>
          </cell>
          <cell r="B416" t="str">
            <v>VAR_cap</v>
          </cell>
          <cell r="C416" t="str">
            <v>-</v>
          </cell>
          <cell r="H416">
            <v>0.4217406288496946</v>
          </cell>
          <cell r="I416">
            <v>0.49104619330595162</v>
          </cell>
          <cell r="J416">
            <v>0.61631973465095302</v>
          </cell>
        </row>
        <row r="417">
          <cell r="A417" t="str">
            <v>D-RHES_LTH_CHPWOD</v>
          </cell>
          <cell r="B417" t="str">
            <v>VAR_fout</v>
          </cell>
          <cell r="C417" t="str">
            <v>RHES_LTH_CHPWOD_ON</v>
          </cell>
          <cell r="H417">
            <v>2.0051329317921316E-5</v>
          </cell>
          <cell r="I417"/>
          <cell r="J417"/>
        </row>
        <row r="418">
          <cell r="A418" t="str">
            <v>D-RHES_LTH_CHPWOD</v>
          </cell>
          <cell r="B418" t="str">
            <v>VAR_fout</v>
          </cell>
          <cell r="C418" t="str">
            <v>RHSA_LTH</v>
          </cell>
          <cell r="H418">
            <v>1.2837013077933324E-4</v>
          </cell>
          <cell r="I418">
            <v>9.1160685505388159E-5</v>
          </cell>
          <cell r="J418">
            <v>1.0072257934862146E-4</v>
          </cell>
        </row>
        <row r="419">
          <cell r="A419" t="str">
            <v>D-RHES_LTH_CHPWOD</v>
          </cell>
          <cell r="B419" t="str">
            <v>VAR_fin</v>
          </cell>
          <cell r="C419" t="str">
            <v>RHES_LTH_CHPWOD</v>
          </cell>
          <cell r="H419">
            <v>1.4860071395532014E-4</v>
          </cell>
          <cell r="I419">
            <v>9.1312204703809441E-5</v>
          </cell>
          <cell r="J419">
            <v>1.009722880801745E-4</v>
          </cell>
        </row>
        <row r="420">
          <cell r="A420" t="str">
            <v>ITOT-SWHSOLBR</v>
          </cell>
          <cell r="B420" t="str">
            <v>VAR_fout</v>
          </cell>
          <cell r="C420" t="str">
            <v>ITOT-SWHASOL</v>
          </cell>
          <cell r="H420">
            <v>8.5446042804761729E-2</v>
          </cell>
          <cell r="I420">
            <v>8.5341947649360955E-2</v>
          </cell>
          <cell r="J420">
            <v>4.4469026996080768E-2</v>
          </cell>
        </row>
        <row r="421">
          <cell r="A421" t="str">
            <v>ITOT-SWHSOLBR</v>
          </cell>
          <cell r="B421" t="str">
            <v>VAR_fin</v>
          </cell>
          <cell r="C421" t="str">
            <v>SOL</v>
          </cell>
          <cell r="H421">
            <v>8.5446042804761729E-2</v>
          </cell>
          <cell r="I421">
            <v>8.5341947649360955E-2</v>
          </cell>
          <cell r="J421">
            <v>4.4469026996080768E-2</v>
          </cell>
        </row>
        <row r="422">
          <cell r="A422" t="str">
            <v>ITOT-SWHSOLBR</v>
          </cell>
          <cell r="B422" t="str">
            <v>VAR_ncap</v>
          </cell>
          <cell r="C422" t="str">
            <v>-</v>
          </cell>
          <cell r="H422">
            <v>8.5392976575891805E-3</v>
          </cell>
          <cell r="I422">
            <v>3.8764606142943098E-3</v>
          </cell>
          <cell r="J422">
            <v>5.98988242739441E-3</v>
          </cell>
        </row>
        <row r="423">
          <cell r="A423" t="str">
            <v>ITOT-SWHSOLBR</v>
          </cell>
          <cell r="B423" t="str">
            <v>VAR_cap</v>
          </cell>
          <cell r="C423" t="str">
            <v>-</v>
          </cell>
          <cell r="H423">
            <v>1.241633488706999E-2</v>
          </cell>
          <cell r="I423">
            <v>1.2415758271883501E-2</v>
          </cell>
          <cell r="J423">
            <v>1.2415237084561E-2</v>
          </cell>
        </row>
        <row r="424">
          <cell r="A424" t="str">
            <v>SCOM-SHNGAHP</v>
          </cell>
          <cell r="B424" t="str">
            <v>VAR_fout</v>
          </cell>
          <cell r="C424" t="str">
            <v>SCOM-SHANGAH</v>
          </cell>
          <cell r="H424">
            <v>4.8093676922781361</v>
          </cell>
          <cell r="I424">
            <v>6.0106677272225273</v>
          </cell>
          <cell r="J424">
            <v>8.6578328657337824</v>
          </cell>
        </row>
        <row r="425">
          <cell r="A425" t="str">
            <v>SCOM-SHNGAHP</v>
          </cell>
          <cell r="B425" t="str">
            <v>VAR_fout</v>
          </cell>
          <cell r="C425" t="str">
            <v>CO2_S</v>
          </cell>
          <cell r="H425">
            <v>135.43423650763299</v>
          </cell>
          <cell r="I425">
            <v>166.239482420993</v>
          </cell>
          <cell r="J425">
            <v>230.94333396645601</v>
          </cell>
        </row>
        <row r="426">
          <cell r="A426" t="str">
            <v>SCOM-SHNGAHP</v>
          </cell>
          <cell r="B426" t="str">
            <v>VAR_fin</v>
          </cell>
          <cell r="C426" t="str">
            <v>SCOMELCHPC</v>
          </cell>
          <cell r="H426">
            <v>4.8093676922781361</v>
          </cell>
          <cell r="I426">
            <v>6.0106677272225273</v>
          </cell>
          <cell r="J426">
            <v>8.6578328657337824</v>
          </cell>
        </row>
        <row r="427">
          <cell r="A427" t="str">
            <v>SCOM-SHNGAHP</v>
          </cell>
          <cell r="B427" t="str">
            <v>VAR_fin</v>
          </cell>
          <cell r="C427" t="str">
            <v>SNGA</v>
          </cell>
          <cell r="H427">
            <v>2.4013162501353409</v>
          </cell>
          <cell r="I427">
            <v>2.9475085535637122</v>
          </cell>
          <cell r="J427">
            <v>4.0947399639442512</v>
          </cell>
        </row>
        <row r="428">
          <cell r="A428" t="str">
            <v>SCOM-SHNGAHP</v>
          </cell>
          <cell r="B428" t="str">
            <v>VAR_ncap</v>
          </cell>
          <cell r="C428" t="str">
            <v>-</v>
          </cell>
          <cell r="H428">
            <v>0.10479691257706</v>
          </cell>
          <cell r="I428">
            <v>0.24651083391591999</v>
          </cell>
          <cell r="J428">
            <v>0.44888375387899698</v>
          </cell>
        </row>
        <row r="429">
          <cell r="A429" t="str">
            <v>SCOM-SHNGAHP</v>
          </cell>
          <cell r="B429" t="str">
            <v>VAR_cap</v>
          </cell>
          <cell r="C429" t="str">
            <v>-</v>
          </cell>
          <cell r="H429">
            <v>0.37176210812018307</v>
          </cell>
          <cell r="I429">
            <v>0.46631620785301214</v>
          </cell>
          <cell r="J429">
            <v>0.67211343242657628</v>
          </cell>
        </row>
        <row r="430">
          <cell r="A430" t="str">
            <v>RHNS-SHNGABR</v>
          </cell>
          <cell r="B430" t="str">
            <v>VAR_fout</v>
          </cell>
          <cell r="C430" t="str">
            <v>CO2_R</v>
          </cell>
          <cell r="H430">
            <v>8.4728850431298603</v>
          </cell>
          <cell r="I430">
            <v>9.6986258177742499</v>
          </cell>
          <cell r="J430">
            <v>10.3296150021608</v>
          </cell>
        </row>
        <row r="431">
          <cell r="A431" t="str">
            <v>RHNS-SHNGABR</v>
          </cell>
          <cell r="B431" t="str">
            <v>VAR_fout</v>
          </cell>
          <cell r="C431" t="str">
            <v>RHNS-SHNGA</v>
          </cell>
          <cell r="H431">
            <v>0.14417946894900072</v>
          </cell>
          <cell r="I431">
            <v>0.16504109484818269</v>
          </cell>
          <cell r="J431">
            <v>0.17577861042875739</v>
          </cell>
        </row>
        <row r="432">
          <cell r="A432" t="str">
            <v>RHNS-SHNGABR</v>
          </cell>
          <cell r="B432" t="str">
            <v>VAR_fin</v>
          </cell>
          <cell r="C432" t="str">
            <v>RNGA</v>
          </cell>
          <cell r="H432">
            <v>0.15022845821152234</v>
          </cell>
          <cell r="I432">
            <v>0.17196145066975616</v>
          </cell>
          <cell r="J432">
            <v>0.18314920216597114</v>
          </cell>
        </row>
        <row r="433">
          <cell r="A433" t="str">
            <v>RHNS-SHNGABR</v>
          </cell>
          <cell r="B433" t="str">
            <v>VAR_ncap</v>
          </cell>
          <cell r="C433" t="str">
            <v>-</v>
          </cell>
          <cell r="H433">
            <v>5.9240397236812103E-3</v>
          </cell>
          <cell r="I433">
            <v>5.6013520777617697E-3</v>
          </cell>
          <cell r="J433">
            <v>6.6053097313717897E-3</v>
          </cell>
        </row>
        <row r="434">
          <cell r="A434" t="str">
            <v>RHNS-SHNGABR</v>
          </cell>
          <cell r="B434" t="str">
            <v>VAR_cap</v>
          </cell>
          <cell r="C434" t="str">
            <v>-</v>
          </cell>
          <cell r="H434">
            <v>1.0542181667037069E-2</v>
          </cell>
          <cell r="I434">
            <v>1.2065832748411625E-2</v>
          </cell>
          <cell r="J434">
            <v>1.3176199574828941E-2</v>
          </cell>
        </row>
        <row r="435">
          <cell r="A435" t="str">
            <v>D-RHNM_LTH_CHPNGA</v>
          </cell>
          <cell r="B435" t="str">
            <v>VAR_fout</v>
          </cell>
          <cell r="C435" t="str">
            <v>RHSA_LTH</v>
          </cell>
          <cell r="H435">
            <v>0.4350631181802439</v>
          </cell>
          <cell r="I435">
            <v>1.045865848241462</v>
          </cell>
          <cell r="J435">
            <v>0.92458198991482254</v>
          </cell>
        </row>
        <row r="436">
          <cell r="A436" t="str">
            <v>D-RHNM_LTH_CHPNGA</v>
          </cell>
          <cell r="B436" t="str">
            <v>VAR_fout</v>
          </cell>
          <cell r="C436" t="str">
            <v>LTH</v>
          </cell>
          <cell r="H436">
            <v>1.8043582592739186E-3</v>
          </cell>
          <cell r="I436">
            <v>2.607536745973995E-3</v>
          </cell>
          <cell r="J436">
            <v>1.628143132978708E-3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RHNM_LTH_CHPNGA_ON</v>
          </cell>
          <cell r="H437">
            <v>0.60380673029265697</v>
          </cell>
          <cell r="I437">
            <v>0.10441645175234091</v>
          </cell>
          <cell r="J437"/>
        </row>
        <row r="438">
          <cell r="A438" t="str">
            <v>D-RHNM_LTH_CHPNGA</v>
          </cell>
          <cell r="B438" t="str">
            <v>VAR_fin</v>
          </cell>
          <cell r="C438" t="str">
            <v>RHNM_LTH_CHPNGA</v>
          </cell>
          <cell r="H438">
            <v>1.0406742067321755</v>
          </cell>
          <cell r="I438">
            <v>1.1528898367397766</v>
          </cell>
          <cell r="J438">
            <v>0.92621013304780098</v>
          </cell>
        </row>
        <row r="439">
          <cell r="A439" t="str">
            <v>RHNM-SHELCHP</v>
          </cell>
          <cell r="B439" t="str">
            <v>VAR_fout</v>
          </cell>
          <cell r="C439" t="str">
            <v>RHNM-SHAELCH</v>
          </cell>
          <cell r="H439">
            <v>2.2429495668848891</v>
          </cell>
          <cell r="I439">
            <v>2.6806829799495042</v>
          </cell>
          <cell r="J439">
            <v>3.3736934114864301</v>
          </cell>
        </row>
        <row r="440">
          <cell r="A440" t="str">
            <v>RHNM-SHELCHP</v>
          </cell>
          <cell r="B440" t="str">
            <v>VAR_fin</v>
          </cell>
          <cell r="C440" t="str">
            <v>RHNM_ELC</v>
          </cell>
          <cell r="H440">
            <v>0.62663851378054103</v>
          </cell>
          <cell r="I440">
            <v>0.7341418145770976</v>
          </cell>
          <cell r="J440">
            <v>0.88444706031762321</v>
          </cell>
        </row>
        <row r="441">
          <cell r="A441" t="str">
            <v>RHNM-SHELCHP</v>
          </cell>
          <cell r="B441" t="str">
            <v>VAR_fin</v>
          </cell>
          <cell r="C441" t="str">
            <v>RHNMELCHPC</v>
          </cell>
          <cell r="H441">
            <v>2.2429495668848891</v>
          </cell>
          <cell r="I441">
            <v>2.6806829799495042</v>
          </cell>
          <cell r="J441">
            <v>3.3736934114864301</v>
          </cell>
        </row>
        <row r="442">
          <cell r="A442" t="str">
            <v>RHNM-SHELCHP</v>
          </cell>
          <cell r="B442" t="str">
            <v>VAR_ncap</v>
          </cell>
          <cell r="C442" t="str">
            <v>-</v>
          </cell>
          <cell r="H442">
            <v>4.2666021729759501E-2</v>
          </cell>
          <cell r="I442">
            <v>0.11158076735931401</v>
          </cell>
          <cell r="J442">
            <v>0.162840765686174</v>
          </cell>
        </row>
        <row r="443">
          <cell r="A443" t="str">
            <v>RHNM-SHELCHP</v>
          </cell>
          <cell r="B443" t="str">
            <v>VAR_cap</v>
          </cell>
          <cell r="C443" t="str">
            <v>-</v>
          </cell>
          <cell r="H443">
            <v>0.17410345260843912</v>
          </cell>
          <cell r="I443">
            <v>0.20807642292757669</v>
          </cell>
          <cell r="J443">
            <v>0.26186614324938601</v>
          </cell>
        </row>
        <row r="444">
          <cell r="A444" t="str">
            <v>D-IH2R</v>
          </cell>
          <cell r="B444" t="str">
            <v>VAR_fout</v>
          </cell>
          <cell r="C444" t="str">
            <v>IH2</v>
          </cell>
          <cell r="H444">
            <v>7.7223408374875707E-4</v>
          </cell>
          <cell r="I444">
            <v>5.4116585612000174E-4</v>
          </cell>
          <cell r="J444">
            <v>3.5148908057259224E-4</v>
          </cell>
        </row>
        <row r="445">
          <cell r="A445" t="str">
            <v>D-IH2R</v>
          </cell>
          <cell r="B445" t="str">
            <v>VAR_fin</v>
          </cell>
          <cell r="C445" t="str">
            <v>H2</v>
          </cell>
          <cell r="H445">
            <v>7.7223408374875707E-4</v>
          </cell>
          <cell r="I445">
            <v>5.4116585612000174E-4</v>
          </cell>
          <cell r="J445">
            <v>3.5148908057259224E-4</v>
          </cell>
        </row>
        <row r="446">
          <cell r="A446" t="str">
            <v>D-IH2R</v>
          </cell>
          <cell r="B446" t="str">
            <v>VAR_ncap</v>
          </cell>
          <cell r="C446" t="str">
            <v>-</v>
          </cell>
          <cell r="H446">
            <v>4.3181257824932701E-5</v>
          </cell>
          <cell r="I446">
            <v>4.1592025032002198E-5</v>
          </cell>
          <cell r="J446">
            <v>8.9515825392800192E-6</v>
          </cell>
        </row>
        <row r="447">
          <cell r="A447" t="str">
            <v>D-IH2R</v>
          </cell>
          <cell r="B447" t="str">
            <v>VAR_cap</v>
          </cell>
          <cell r="C447" t="str">
            <v>-</v>
          </cell>
          <cell r="H447">
            <v>6.7934148452853895E-5</v>
          </cell>
          <cell r="I447">
            <v>4.92403724667864E-5</v>
          </cell>
          <cell r="J447">
            <v>2.3197734807863301E-5</v>
          </cell>
        </row>
        <row r="448">
          <cell r="A448" t="str">
            <v>RHEM-SHSTG-ELC</v>
          </cell>
          <cell r="B448" t="str">
            <v>VAR_fout</v>
          </cell>
          <cell r="C448" t="str">
            <v>RHEM-SHAELCB</v>
          </cell>
          <cell r="H448">
            <v>6.5709040588704439E-4</v>
          </cell>
          <cell r="I448">
            <v>4.748760765223406E-4</v>
          </cell>
          <cell r="J448">
            <v>3.4912548100958317E-4</v>
          </cell>
        </row>
        <row r="449">
          <cell r="A449" t="str">
            <v>RHEM-SHSTG-ELC</v>
          </cell>
          <cell r="B449" t="str">
            <v>VAR_fout</v>
          </cell>
          <cell r="C449" t="str">
            <v>AUX_RHEM-SHSTG-ELC_OUT</v>
          </cell>
          <cell r="H449">
            <v>6.5774749629293131E-4</v>
          </cell>
          <cell r="I449">
            <v>4.7535095259886294E-4</v>
          </cell>
          <cell r="J449">
            <v>3.4947460649059278E-4</v>
          </cell>
        </row>
        <row r="450">
          <cell r="A450" t="str">
            <v>RHEM-SHSTG-ELC</v>
          </cell>
          <cell r="B450" t="str">
            <v>VAR_fin</v>
          </cell>
          <cell r="C450" t="str">
            <v>RHEM-SHAELCB</v>
          </cell>
          <cell r="H450">
            <v>6.57245189611146E-4</v>
          </cell>
          <cell r="I450">
            <v>4.7524716617879906E-4</v>
          </cell>
          <cell r="J450">
            <v>3.4946196413971026E-4</v>
          </cell>
        </row>
        <row r="451">
          <cell r="A451" t="str">
            <v>RHEM-SHSTG-ELC</v>
          </cell>
          <cell r="B451" t="str">
            <v>VAR_ncap</v>
          </cell>
          <cell r="C451" t="str">
            <v>-</v>
          </cell>
          <cell r="H451">
            <v>9.3716964390641101E-6</v>
          </cell>
          <cell r="I451">
            <v>7.9988918321632598E-5</v>
          </cell>
          <cell r="J451">
            <v>1.16472952488613E-5</v>
          </cell>
        </row>
        <row r="452">
          <cell r="A452" t="str">
            <v>RHEM-SHSTG-ELC</v>
          </cell>
          <cell r="B452" t="str">
            <v>VAR_cap</v>
          </cell>
          <cell r="C452" t="str">
            <v>-</v>
          </cell>
          <cell r="H452">
            <v>1.023457030526996E-4</v>
          </cell>
          <cell r="I452">
            <v>8.5712407380733838E-5</v>
          </cell>
          <cell r="J452">
            <v>6.7948475013120899E-5</v>
          </cell>
        </row>
        <row r="453">
          <cell r="A453" t="str">
            <v>RHNM-SHLTHCHPWOD</v>
          </cell>
          <cell r="B453" t="str">
            <v>VAR_ncap</v>
          </cell>
          <cell r="C453" t="str">
            <v>-</v>
          </cell>
          <cell r="H453">
            <v>2.5180643111051601E-5</v>
          </cell>
          <cell r="I453">
            <v>1.3979339890118899E-5</v>
          </cell>
          <cell r="J453">
            <v>2.5821493832171199E-5</v>
          </cell>
        </row>
        <row r="454">
          <cell r="A454" t="str">
            <v>RHNM-SHLTHCHPWOD</v>
          </cell>
          <cell r="B454" t="str">
            <v>VAR_cap</v>
          </cell>
          <cell r="C454" t="str">
            <v>-</v>
          </cell>
          <cell r="H454">
            <v>3.4426695117048698E-5</v>
          </cell>
          <cell r="I454">
            <v>2.6325494542224903E-5</v>
          </cell>
          <cell r="J454">
            <v>3.2375654915855502E-5</v>
          </cell>
        </row>
        <row r="455">
          <cell r="A455" t="str">
            <v>ITOT-SWHDEM</v>
          </cell>
          <cell r="B455" t="str">
            <v>VAR_fout</v>
          </cell>
          <cell r="C455" t="str">
            <v>ITOT-SWHD</v>
          </cell>
          <cell r="H455">
            <v>77.231014873815951</v>
          </cell>
          <cell r="I455">
            <v>77.475460500265029</v>
          </cell>
          <cell r="J455">
            <v>77.918980268118858</v>
          </cell>
        </row>
        <row r="456">
          <cell r="A456" t="str">
            <v>ITOT-SWHDEM</v>
          </cell>
          <cell r="B456" t="str">
            <v>VAR_fin</v>
          </cell>
          <cell r="C456" t="str">
            <v>ITOT-SWHNGAH</v>
          </cell>
          <cell r="H456">
            <v>2.0741304314863908E-2</v>
          </cell>
          <cell r="I456">
            <v>4.5816593069336669E-3</v>
          </cell>
          <cell r="J456">
            <v>4.5682125511729609E-3</v>
          </cell>
        </row>
        <row r="457">
          <cell r="A457" t="str">
            <v>ITOT-SWHDEM</v>
          </cell>
          <cell r="B457" t="str">
            <v>VAR_fin</v>
          </cell>
          <cell r="C457" t="str">
            <v>ITOT-SWH</v>
          </cell>
          <cell r="H457">
            <v>58.917588395640671</v>
          </cell>
          <cell r="I457">
            <v>59.161876537106934</v>
          </cell>
          <cell r="J457">
            <v>59.360842924303768</v>
          </cell>
        </row>
        <row r="458">
          <cell r="A458" t="str">
            <v>ITOT-SWHDEM</v>
          </cell>
          <cell r="B458" t="str">
            <v>VAR_fin</v>
          </cell>
          <cell r="C458" t="str">
            <v>ITOT-SWHELCH</v>
          </cell>
          <cell r="H458">
            <v>5.0658942443614263</v>
          </cell>
          <cell r="I458">
            <v>5.0821377468162749</v>
          </cell>
          <cell r="J458">
            <v>5.0820780973244215</v>
          </cell>
        </row>
        <row r="459">
          <cell r="A459" t="str">
            <v>ITOT-SWHDEM</v>
          </cell>
          <cell r="B459" t="str">
            <v>VAR_fin</v>
          </cell>
          <cell r="C459" t="str">
            <v>ITOT-SWHC</v>
          </cell>
          <cell r="H459">
            <v>1.5210035581544903</v>
          </cell>
          <cell r="I459">
            <v>1.5211274534589514</v>
          </cell>
          <cell r="J459">
            <v>1.5211557134206333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</v>
          </cell>
          <cell r="H460">
            <v>11.62038184529821</v>
          </cell>
          <cell r="I460">
            <v>11.620440380689338</v>
          </cell>
          <cell r="J460">
            <v>11.905922192072683</v>
          </cell>
        </row>
        <row r="461">
          <cell r="A461" t="str">
            <v>ITOT-SWHDEM</v>
          </cell>
          <cell r="B461" t="str">
            <v>VAR_fin</v>
          </cell>
          <cell r="C461" t="str">
            <v>ITOT-SWHSOL</v>
          </cell>
          <cell r="H461">
            <v>8.5454463860360777E-2</v>
          </cell>
          <cell r="I461">
            <v>8.5348464043373526E-2</v>
          </cell>
          <cell r="J461">
            <v>4.4472433701725732E-2</v>
          </cell>
        </row>
        <row r="462">
          <cell r="A462" t="str">
            <v>D-RHNS_NKEV_GAS_ELC_CHP</v>
          </cell>
          <cell r="B462" t="str">
            <v>VAR_fout</v>
          </cell>
          <cell r="C462" t="str">
            <v>RHNS_ELC</v>
          </cell>
          <cell r="H462">
            <v>3.9615693358645407E-4</v>
          </cell>
          <cell r="I462">
            <v>3.0307395683826585E-4</v>
          </cell>
          <cell r="J462">
            <v>1.5766655159592678E-4</v>
          </cell>
        </row>
        <row r="463">
          <cell r="A463" t="str">
            <v>D-RHNS_NKEV_GAS_ELC_CHP</v>
          </cell>
          <cell r="B463" t="str">
            <v>VAR_fout</v>
          </cell>
          <cell r="C463" t="str">
            <v>ELC5</v>
          </cell>
          <cell r="H463">
            <v>1.2551662208158511E-4</v>
          </cell>
          <cell r="I463">
            <v>1.0014655236858406E-4</v>
          </cell>
          <cell r="J463">
            <v>5.7138975265939432E-5</v>
          </cell>
        </row>
        <row r="464">
          <cell r="A464" t="str">
            <v>D-RHNS_NKEV_GAS_ELC_CHP</v>
          </cell>
          <cell r="B464" t="str">
            <v>VAR_fin</v>
          </cell>
          <cell r="C464" t="str">
            <v>RHNS_NKEV_GAS_ELC_CHP</v>
          </cell>
          <cell r="H464">
            <v>5.2167355566803909E-4</v>
          </cell>
          <cell r="I464">
            <v>4.0322050920684979E-4</v>
          </cell>
          <cell r="J464">
            <v>2.1480552686186635E-4</v>
          </cell>
        </row>
        <row r="465">
          <cell r="A465" t="str">
            <v>RHNM-SHSTG-NGAHP</v>
          </cell>
          <cell r="B465" t="str">
            <v>VAR_fout</v>
          </cell>
          <cell r="C465" t="str">
            <v>RHNM-SHANGAH</v>
          </cell>
          <cell r="H465">
            <v>5.5071678316020709E-2</v>
          </cell>
          <cell r="I465">
            <v>6.9127146571121803E-2</v>
          </cell>
          <cell r="J465">
            <v>0.1160882845404007</v>
          </cell>
        </row>
        <row r="466">
          <cell r="A466" t="str">
            <v>RHNM-SHSTG-NGAHP</v>
          </cell>
          <cell r="B466" t="str">
            <v>VAR_fout</v>
          </cell>
          <cell r="C466" t="str">
            <v>AUX_RHNM-SHSTG-NGAHP_OUT</v>
          </cell>
          <cell r="H466">
            <v>5.512674999433681E-2</v>
          </cell>
          <cell r="I466">
            <v>6.9196273717692852E-2</v>
          </cell>
          <cell r="J466">
            <v>0.11620437282494119</v>
          </cell>
        </row>
        <row r="467">
          <cell r="A467" t="str">
            <v>RHNM-SHSTG-NGAHP</v>
          </cell>
          <cell r="B467" t="str">
            <v>VAR_fin</v>
          </cell>
          <cell r="C467" t="str">
            <v>RHNM-SHANGAH</v>
          </cell>
          <cell r="H467">
            <v>5.5076796913144134E-2</v>
          </cell>
          <cell r="I467">
            <v>6.913273743194856E-2</v>
          </cell>
          <cell r="J467">
            <v>0.11609374247659689</v>
          </cell>
        </row>
        <row r="468">
          <cell r="A468" t="str">
            <v>RHNM-SHSTG-NGAHP</v>
          </cell>
          <cell r="B468" t="str">
            <v>VAR_ncap</v>
          </cell>
          <cell r="C468" t="str">
            <v>-</v>
          </cell>
          <cell r="H468">
            <v>6.2110728345786802E-3</v>
          </cell>
          <cell r="I468">
            <v>1.0835192505564899E-2</v>
          </cell>
          <cell r="J468">
            <v>2.1441420953590799E-2</v>
          </cell>
        </row>
        <row r="469">
          <cell r="A469" t="str">
            <v>RHNM-SHSTG-NGAHP</v>
          </cell>
          <cell r="B469" t="str">
            <v>VAR_cap</v>
          </cell>
          <cell r="C469" t="str">
            <v>-</v>
          </cell>
          <cell r="H469">
            <v>1.8673119692543042E-2</v>
          </cell>
          <cell r="I469">
            <v>2.3418544119576449E-2</v>
          </cell>
          <cell r="J469">
            <v>3.1923757645259496E-2</v>
          </cell>
        </row>
        <row r="470">
          <cell r="A470" t="str">
            <v>D-IBIO</v>
          </cell>
          <cell r="B470" t="str">
            <v>VAR_fout</v>
          </cell>
          <cell r="C470" t="str">
            <v>IBIO</v>
          </cell>
          <cell r="H470">
            <v>8.4435734597810228</v>
          </cell>
          <cell r="I470">
            <v>8.4435847936737201</v>
          </cell>
          <cell r="J470">
            <v>8.4435851802748534</v>
          </cell>
        </row>
        <row r="471">
          <cell r="A471" t="str">
            <v>D-IBIO</v>
          </cell>
          <cell r="B471" t="str">
            <v>VAR_fin</v>
          </cell>
          <cell r="C471" t="str">
            <v>BIO</v>
          </cell>
          <cell r="H471">
            <v>8.4435734597810228</v>
          </cell>
          <cell r="I471">
            <v>8.4435847936737201</v>
          </cell>
          <cell r="J471">
            <v>8.4435851802748534</v>
          </cell>
        </row>
        <row r="472">
          <cell r="A472" t="str">
            <v>D-RHES_KEV_WOD_ELC_CHP</v>
          </cell>
          <cell r="B472" t="str">
            <v>VAR_fout</v>
          </cell>
          <cell r="C472" t="str">
            <v>RHES_ELC</v>
          </cell>
          <cell r="H472">
            <v>5.0167912726074024E-5</v>
          </cell>
          <cell r="I472">
            <v>3.9058458120493897E-5</v>
          </cell>
          <cell r="J472">
            <v>3.7629389644792297E-5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ELC5</v>
          </cell>
          <cell r="H473">
            <v>4.1478759693105154E-5</v>
          </cell>
          <cell r="I473">
            <v>3.2199561307219137E-5</v>
          </cell>
          <cell r="J473">
            <v>2.710037366848001E-5</v>
          </cell>
        </row>
        <row r="474">
          <cell r="A474" t="str">
            <v>D-RHES_KEV_WOD_ELC_CHP</v>
          </cell>
          <cell r="B474" t="str">
            <v>VAR_fin</v>
          </cell>
          <cell r="C474" t="str">
            <v>RHES_KEV_WOD_ELC_CHP</v>
          </cell>
          <cell r="H474">
            <v>8.8920988074359821E-5</v>
          </cell>
          <cell r="I474">
            <v>6.8848516004831558E-5</v>
          </cell>
          <cell r="J474">
            <v>6.2422509133882575E-5</v>
          </cell>
        </row>
        <row r="475">
          <cell r="A475" t="str">
            <v>RHNS-SHLFOBR</v>
          </cell>
          <cell r="B475" t="str">
            <v>VAR_fout</v>
          </cell>
          <cell r="C475" t="str">
            <v>CO2_R</v>
          </cell>
          <cell r="H475">
            <v>5.7171284850943804</v>
          </cell>
          <cell r="I475">
            <v>5.6739011851382504</v>
          </cell>
        </row>
        <row r="476">
          <cell r="A476" t="str">
            <v>RHNS-SHLFOBR</v>
          </cell>
          <cell r="B476" t="str">
            <v>VAR_fout</v>
          </cell>
          <cell r="C476" t="str">
            <v>RHNS-SHLFO</v>
          </cell>
          <cell r="H476">
            <v>7.3648197221543477E-2</v>
          </cell>
          <cell r="I476">
            <v>7.3093624230594151E-2</v>
          </cell>
        </row>
        <row r="477">
          <cell r="A477" t="str">
            <v>RHNS-SHLFOBR</v>
          </cell>
          <cell r="B477" t="str">
            <v>VAR_fin</v>
          </cell>
          <cell r="C477" t="str">
            <v>RLFO</v>
          </cell>
          <cell r="H477">
            <v>7.7572978088119207E-2</v>
          </cell>
          <cell r="I477">
            <v>7.698644755954212E-2</v>
          </cell>
        </row>
        <row r="478">
          <cell r="A478" t="str">
            <v>RHNS-SHLFOBR</v>
          </cell>
          <cell r="B478" t="str">
            <v>VAR_ncap</v>
          </cell>
          <cell r="C478" t="str">
            <v>-</v>
          </cell>
        </row>
        <row r="479">
          <cell r="A479" t="str">
            <v>RHNS-SHLFOBR</v>
          </cell>
          <cell r="B479" t="str">
            <v>VAR_cap</v>
          </cell>
          <cell r="C479" t="str">
            <v>-</v>
          </cell>
          <cell r="H479">
            <v>3.006306683001312E-2</v>
          </cell>
          <cell r="I479">
            <v>5.3248541594033503E-3</v>
          </cell>
        </row>
        <row r="480">
          <cell r="A480" t="str">
            <v>D-SNGA</v>
          </cell>
          <cell r="B480" t="str">
            <v>VAR_fout</v>
          </cell>
          <cell r="C480" t="str">
            <v>CO2</v>
          </cell>
          <cell r="H480">
            <v>1803.6444100897399</v>
          </cell>
          <cell r="I480">
            <v>1600.25803571559</v>
          </cell>
          <cell r="J480">
            <v>699.07539701906899</v>
          </cell>
        </row>
        <row r="481">
          <cell r="A481" t="str">
            <v>D-SNGA</v>
          </cell>
          <cell r="B481" t="str">
            <v>VAR_fout</v>
          </cell>
          <cell r="C481" t="str">
            <v>SNGA</v>
          </cell>
          <cell r="H481">
            <v>31.877870008880056</v>
          </cell>
          <cell r="I481">
            <v>28.283038953024867</v>
          </cell>
          <cell r="J481">
            <v>12.355513374657669</v>
          </cell>
        </row>
        <row r="482">
          <cell r="A482" t="str">
            <v>D-SNGA</v>
          </cell>
          <cell r="B482" t="str">
            <v>VAR_fin</v>
          </cell>
          <cell r="C482" t="str">
            <v>NGA</v>
          </cell>
          <cell r="H482">
            <v>31.979510817193916</v>
          </cell>
          <cell r="I482">
            <v>28.373369427581327</v>
          </cell>
          <cell r="J482">
            <v>12.394953847855822</v>
          </cell>
        </row>
        <row r="483">
          <cell r="A483" t="str">
            <v>D-SNGA</v>
          </cell>
          <cell r="B483" t="str">
            <v>VAR_fin</v>
          </cell>
          <cell r="C483" t="str">
            <v>BNGA</v>
          </cell>
          <cell r="H483">
            <v>1.9685964223434607E-4</v>
          </cell>
          <cell r="I483">
            <v>2.3075692810377896E-5</v>
          </cell>
          <cell r="J483">
            <v>3.2653780247643127E-5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H484">
            <v>3.28897315171786E-8</v>
          </cell>
          <cell r="I484">
            <v>4.6723945953841202E-8</v>
          </cell>
          <cell r="J484">
            <v>1.03688564287008E-7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H485">
            <v>2.2350523351882314</v>
          </cell>
          <cell r="I485">
            <v>2.2350523819121775</v>
          </cell>
          <cell r="J485">
            <v>1.1208907864644615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H486">
            <v>0.73221172226100473</v>
          </cell>
          <cell r="I486">
            <v>0.73016688086640202</v>
          </cell>
          <cell r="J486">
            <v>0.72611101028490466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H487">
            <v>0.73221172226100473</v>
          </cell>
          <cell r="I487">
            <v>0.73016688086640202</v>
          </cell>
          <cell r="J487">
            <v>0.72611101028490466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H488">
            <v>6.1541273140276198</v>
          </cell>
          <cell r="I488">
            <v>6.1757443640313667</v>
          </cell>
          <cell r="J488">
            <v>6.2149970291870176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H489">
            <v>10.343071116012798</v>
          </cell>
          <cell r="I489">
            <v>10.350409548655922</v>
          </cell>
          <cell r="J489">
            <v>10.35832838197836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H490">
            <v>6.1541273140276198</v>
          </cell>
          <cell r="I490">
            <v>6.1757443640313667</v>
          </cell>
          <cell r="J490">
            <v>6.2149970291870176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H491">
            <v>0.23520261331098999</v>
          </cell>
          <cell r="I491">
            <v>0.105221915572903</v>
          </cell>
          <cell r="J491">
            <v>0.20386545427660599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H492">
            <v>0.33676310112927449</v>
          </cell>
          <cell r="I492">
            <v>0.34042394043369029</v>
          </cell>
          <cell r="J492">
            <v>0.37971696397767635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H493">
            <v>2.5798030037403672</v>
          </cell>
          <cell r="I493">
            <v>3.4754129587851339</v>
          </cell>
          <cell r="J493">
            <v>4.5238396651333366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H494">
            <v>5.1877358160912364E-4</v>
          </cell>
          <cell r="I494">
            <v>5.2422887645849478E-3</v>
          </cell>
          <cell r="J494">
            <v>1.7520352454114188E-4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H495">
            <v>2.5803181120598007</v>
          </cell>
          <cell r="I495">
            <v>3.4806515082945415</v>
          </cell>
          <cell r="J495">
            <v>4.5240111246288102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H496">
            <v>6.2978007092665562E-3</v>
          </cell>
          <cell r="I496">
            <v>2.4800080141833608E-3</v>
          </cell>
          <cell r="J496">
            <v>2.6421599503634631E-3</v>
          </cell>
        </row>
        <row r="497">
          <cell r="A497" t="str">
            <v>RHEM-SHSTG-SOL</v>
          </cell>
          <cell r="B497" t="str">
            <v>VAR_fout</v>
          </cell>
          <cell r="C497" t="str">
            <v>AUX_RHEM-SHSTG-SOL_OUT</v>
          </cell>
          <cell r="H497">
            <v>6.3040985099758265E-3</v>
          </cell>
          <cell r="I497">
            <v>2.4824880221975421E-3</v>
          </cell>
          <cell r="J497">
            <v>2.6448021103138248E-3</v>
          </cell>
        </row>
        <row r="498">
          <cell r="A498" t="str">
            <v>RHEM-SHSTG-SOL</v>
          </cell>
          <cell r="B498" t="str">
            <v>VAR_fin</v>
          </cell>
          <cell r="C498" t="str">
            <v>RHEM-SHASOL</v>
          </cell>
          <cell r="H498">
            <v>6.2988032063654859E-3</v>
          </cell>
          <cell r="I498">
            <v>2.4813641040091561E-3</v>
          </cell>
          <cell r="J498">
            <v>2.643635487501727E-3</v>
          </cell>
        </row>
        <row r="499">
          <cell r="A499" t="str">
            <v>RHEM-SHSTG-SOL</v>
          </cell>
          <cell r="B499" t="str">
            <v>VAR_ncap</v>
          </cell>
          <cell r="C499" t="str">
            <v>-</v>
          </cell>
          <cell r="H499">
            <v>2.5814653185702501E-5</v>
          </cell>
          <cell r="I499">
            <v>4.1759348558429598E-4</v>
          </cell>
          <cell r="J499">
            <v>1.36324569752166E-4</v>
          </cell>
        </row>
        <row r="500">
          <cell r="A500" t="str">
            <v>RHEM-SHSTG-SOL</v>
          </cell>
          <cell r="B500" t="str">
            <v>VAR_cap</v>
          </cell>
          <cell r="C500" t="str">
            <v>-</v>
          </cell>
          <cell r="H500">
            <v>4.2028405059018796E-3</v>
          </cell>
          <cell r="I500">
            <v>4.4344193767515902E-4</v>
          </cell>
          <cell r="J500">
            <v>4.5030562181664398E-4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ITOT-ELS</v>
          </cell>
          <cell r="J501">
            <v>4.9944040729440999E-7</v>
          </cell>
        </row>
        <row r="502">
          <cell r="A502" t="str">
            <v>ITOT-SWHCONBR10</v>
          </cell>
          <cell r="B502" t="str">
            <v>VAR_fout</v>
          </cell>
          <cell r="C502" t="str">
            <v>ITOT-SWHC</v>
          </cell>
          <cell r="J502">
            <v>1.081096404753088E-5</v>
          </cell>
        </row>
        <row r="503">
          <cell r="A503" t="str">
            <v>ITOT-SWHCONBR10</v>
          </cell>
          <cell r="B503" t="str">
            <v>VAR_fin</v>
          </cell>
          <cell r="C503" t="str">
            <v>CON</v>
          </cell>
          <cell r="J503">
            <v>1.2566530974508898E-5</v>
          </cell>
        </row>
        <row r="504">
          <cell r="A504" t="str">
            <v>ITOT-SWHCONBR10</v>
          </cell>
          <cell r="B504" t="str">
            <v>VAR_ncap</v>
          </cell>
          <cell r="C504" t="str">
            <v>-</v>
          </cell>
          <cell r="J504">
            <v>3.1537079117172699E-7</v>
          </cell>
        </row>
        <row r="505">
          <cell r="A505" t="str">
            <v>ITOT-SWHCONBR10</v>
          </cell>
          <cell r="B505" t="str">
            <v>VAR_cap</v>
          </cell>
          <cell r="C505" t="str">
            <v>-</v>
          </cell>
          <cell r="J505">
            <v>3.1537079117172699E-7</v>
          </cell>
        </row>
        <row r="506">
          <cell r="A506" t="str">
            <v>SCOM-SHSTG</v>
          </cell>
          <cell r="B506" t="str">
            <v>VAR_fout</v>
          </cell>
          <cell r="C506" t="str">
            <v>AUX_SCOM-SHSTG_OUT</v>
          </cell>
          <cell r="H506">
            <v>1.3382106057304296E-5</v>
          </cell>
          <cell r="I506">
            <v>2.3202400167579617E-5</v>
          </cell>
          <cell r="J506">
            <v>3.8009961507550491E-4</v>
          </cell>
        </row>
        <row r="507">
          <cell r="A507" t="str">
            <v>SCOM-SHSTG</v>
          </cell>
          <cell r="B507" t="str">
            <v>VAR_fout</v>
          </cell>
          <cell r="C507" t="str">
            <v>SCOM-SHD</v>
          </cell>
          <cell r="H507">
            <v>1.3396991603530432E-5</v>
          </cell>
          <cell r="I507">
            <v>2.3202400167579604E-5</v>
          </cell>
          <cell r="J507">
            <v>3.8009961507550491E-4</v>
          </cell>
        </row>
        <row r="508">
          <cell r="A508" t="str">
            <v>SCOM-SHSTG</v>
          </cell>
          <cell r="B508" t="str">
            <v>VAR_fin</v>
          </cell>
          <cell r="C508" t="str">
            <v>AUX_SCOM-SHSTG_IN</v>
          </cell>
          <cell r="H508">
            <v>1.3820708325659569E-5</v>
          </cell>
          <cell r="I508">
            <v>2.501180159840403E-5</v>
          </cell>
          <cell r="J508">
            <v>3.8386497032106854E-4</v>
          </cell>
        </row>
        <row r="509">
          <cell r="A509" t="str">
            <v>SCOM-SHSTG</v>
          </cell>
          <cell r="B509" t="str">
            <v>VAR_fin</v>
          </cell>
          <cell r="C509" t="str">
            <v>SCOM-SHD</v>
          </cell>
          <cell r="H509">
            <v>1.3820708325659569E-5</v>
          </cell>
          <cell r="I509">
            <v>2.501180159840403E-5</v>
          </cell>
          <cell r="J509">
            <v>3.8386497032106854E-4</v>
          </cell>
        </row>
        <row r="510">
          <cell r="A510" t="str">
            <v>SCOM-SHSTG</v>
          </cell>
          <cell r="B510" t="str">
            <v>VAR_ncap</v>
          </cell>
          <cell r="C510" t="str">
            <v>-</v>
          </cell>
          <cell r="H510">
            <v>3.3680217794387899E-6</v>
          </cell>
          <cell r="I510">
            <v>5.8242838816662399E-5</v>
          </cell>
          <cell r="J510">
            <v>7.2371817129633802E-5</v>
          </cell>
        </row>
        <row r="511">
          <cell r="A511" t="str">
            <v>SCOM-SHSTG</v>
          </cell>
          <cell r="B511" t="str">
            <v>VAR_cap</v>
          </cell>
          <cell r="C511" t="str">
            <v>-</v>
          </cell>
          <cell r="H511">
            <v>1.1005637845324172E-4</v>
          </cell>
          <cell r="I511">
            <v>9.8683556593159261E-5</v>
          </cell>
          <cell r="J511">
            <v>1.3265819177218734E-4</v>
          </cell>
        </row>
        <row r="512">
          <cell r="A512" t="str">
            <v>D-RNGA</v>
          </cell>
          <cell r="B512" t="str">
            <v>VAR_fout</v>
          </cell>
          <cell r="C512" t="str">
            <v>CO2</v>
          </cell>
          <cell r="H512">
            <v>2382.92314669793</v>
          </cell>
          <cell r="I512">
            <v>2185.2956780280001</v>
          </cell>
          <cell r="J512">
            <v>1522.4874510222801</v>
          </cell>
        </row>
        <row r="513">
          <cell r="A513" t="str">
            <v>D-RNGA</v>
          </cell>
          <cell r="B513" t="str">
            <v>VAR_fout</v>
          </cell>
          <cell r="C513" t="str">
            <v>RNGA</v>
          </cell>
          <cell r="H513">
            <v>42.116063040669523</v>
          </cell>
          <cell r="I513">
            <v>38.623014541000167</v>
          </cell>
          <cell r="J513">
            <v>26.908528500984712</v>
          </cell>
        </row>
        <row r="514">
          <cell r="A514" t="str">
            <v>D-RNGA</v>
          </cell>
          <cell r="B514" t="str">
            <v>VAR_fin</v>
          </cell>
          <cell r="C514" t="str">
            <v>NGA</v>
          </cell>
          <cell r="H514">
            <v>42.250410402445574</v>
          </cell>
          <cell r="I514">
            <v>38.746377269999961</v>
          </cell>
          <cell r="J514">
            <v>26.994458351458817</v>
          </cell>
        </row>
        <row r="515">
          <cell r="A515" t="str">
            <v>D-RNGA</v>
          </cell>
          <cell r="B515" t="str">
            <v>VAR_fin</v>
          </cell>
          <cell r="C515" t="str">
            <v>BNGA</v>
          </cell>
          <cell r="H515">
            <v>1.9743818574950362E-4</v>
          </cell>
          <cell r="I515">
            <v>2.3109802883092806E-5</v>
          </cell>
          <cell r="J515">
            <v>3.2661761072874723E-5</v>
          </cell>
        </row>
        <row r="516">
          <cell r="A516" t="str">
            <v>D-RNGA</v>
          </cell>
          <cell r="B516" t="str">
            <v>VAR_ncap</v>
          </cell>
          <cell r="C516" t="str">
            <v>-</v>
          </cell>
          <cell r="H516">
            <v>1.8600135513771799E-8</v>
          </cell>
          <cell r="I516">
            <v>2.65359014397869E-8</v>
          </cell>
          <cell r="J516">
            <v>6.2963462165374097E-7</v>
          </cell>
        </row>
        <row r="517">
          <cell r="A517" t="str">
            <v>D-RNGA</v>
          </cell>
          <cell r="B517" t="str">
            <v>VAR_cap</v>
          </cell>
          <cell r="C517" t="str">
            <v>-</v>
          </cell>
          <cell r="H517">
            <v>3.097240100412074</v>
          </cell>
          <cell r="I517">
            <v>3.0972401269479755</v>
          </cell>
          <cell r="J517">
            <v>1.553282997222897</v>
          </cell>
        </row>
        <row r="518">
          <cell r="A518" t="str">
            <v>RHNS-SHLTHCHPNGA</v>
          </cell>
          <cell r="B518" t="str">
            <v>VAR_fout</v>
          </cell>
          <cell r="C518" t="str">
            <v>RHNS-SHLTHC-NGA</v>
          </cell>
        </row>
        <row r="519">
          <cell r="A519" t="str">
            <v>RHNS-SHLTHCHPNGA</v>
          </cell>
          <cell r="B519" t="str">
            <v>VAR_fin</v>
          </cell>
          <cell r="C519" t="str">
            <v>RHNSLTHCHPC</v>
          </cell>
        </row>
        <row r="520">
          <cell r="A520" t="str">
            <v>RHNS-SHLTHCHPNGA</v>
          </cell>
          <cell r="B520" t="str">
            <v>VAR_fin</v>
          </cell>
          <cell r="C520" t="str">
            <v>RHNS_LTH_CHPNGA_ON</v>
          </cell>
        </row>
        <row r="521">
          <cell r="A521" t="str">
            <v>RHNS-SHLTHCHPNGA</v>
          </cell>
          <cell r="B521" t="str">
            <v>VAR_ncap</v>
          </cell>
          <cell r="C521" t="str">
            <v>-</v>
          </cell>
          <cell r="H521">
            <v>5.0323074505530102E-5</v>
          </cell>
          <cell r="I521">
            <v>3.12818956496854E-5</v>
          </cell>
          <cell r="J521">
            <v>1.48046157435817E-5</v>
          </cell>
        </row>
        <row r="522">
          <cell r="A522" t="str">
            <v>RHNS-SHLTHCHPNGA</v>
          </cell>
          <cell r="B522" t="str">
            <v>VAR_cap</v>
          </cell>
          <cell r="C522" t="str">
            <v>-</v>
          </cell>
          <cell r="H522">
            <v>8.3185939256225989E-5</v>
          </cell>
          <cell r="I522">
            <v>5.8113432547071393E-5</v>
          </cell>
          <cell r="J522">
            <v>2.6009392105720202E-5</v>
          </cell>
        </row>
        <row r="523">
          <cell r="A523" t="str">
            <v>D-SCOM_KEV_BIO_ELC_CHP</v>
          </cell>
          <cell r="B523" t="str">
            <v>VAR_fout</v>
          </cell>
          <cell r="C523" t="str">
            <v>ELC5</v>
          </cell>
          <cell r="H523">
            <v>1.9396159097410077E-4</v>
          </cell>
          <cell r="I523">
            <v>1.4743168123236122E-4</v>
          </cell>
          <cell r="J523">
            <v>8.6597348976516207E-5</v>
          </cell>
        </row>
        <row r="524">
          <cell r="A524" t="str">
            <v>D-SCOM_KEV_BIO_ELC_CHP</v>
          </cell>
          <cell r="B524" t="str">
            <v>VAR_fout</v>
          </cell>
          <cell r="C524" t="str">
            <v>SCOM_ELC</v>
          </cell>
          <cell r="H524">
            <v>1.1057472225378986</v>
          </cell>
          <cell r="I524">
            <v>1.1057947424111911</v>
          </cell>
          <cell r="J524">
            <v>1.1058556078681328</v>
          </cell>
        </row>
        <row r="525">
          <cell r="A525" t="str">
            <v>D-SCOM_KEV_BIO_ELC_CHP</v>
          </cell>
          <cell r="B525" t="str">
            <v>VAR_fin</v>
          </cell>
          <cell r="C525" t="str">
            <v>SCOM_KEV_BIO_ELC_CHP</v>
          </cell>
          <cell r="H525">
            <v>1.1059382878509092</v>
          </cell>
          <cell r="I525">
            <v>1.1059382607058463</v>
          </cell>
          <cell r="J525">
            <v>1.1059382100901844</v>
          </cell>
        </row>
        <row r="526">
          <cell r="A526" t="str">
            <v>RHES-SHLTHCHPWOD</v>
          </cell>
          <cell r="B526" t="str">
            <v>VAR_ncap</v>
          </cell>
          <cell r="C526" t="str">
            <v>-</v>
          </cell>
          <cell r="H526">
            <v>1.2614047367348399E-5</v>
          </cell>
          <cell r="I526">
            <v>6.8196119821340001E-6</v>
          </cell>
          <cell r="J526">
            <v>6.7827756537087296E-6</v>
          </cell>
        </row>
        <row r="527">
          <cell r="A527" t="str">
            <v>RHES-SHLTHCHPWOD</v>
          </cell>
          <cell r="B527" t="str">
            <v>VAR_cap</v>
          </cell>
          <cell r="C527" t="str">
            <v>-</v>
          </cell>
          <cell r="H527">
            <v>1.7170215127650879E-5</v>
          </cell>
          <cell r="I527">
            <v>1.29531828545295E-5</v>
          </cell>
          <cell r="J527">
            <v>9.7646079845503798E-6</v>
          </cell>
        </row>
        <row r="528">
          <cell r="A528" t="str">
            <v>RHES-SHSTG-NGAHP</v>
          </cell>
          <cell r="B528" t="str">
            <v>VAR_fout</v>
          </cell>
          <cell r="C528" t="str">
            <v>RHES-SHANGAH</v>
          </cell>
          <cell r="H528">
            <v>0.46075733054181689</v>
          </cell>
          <cell r="I528">
            <v>0.53052982013555183</v>
          </cell>
          <cell r="J528">
            <v>0.64377480395833309</v>
          </cell>
        </row>
        <row r="529">
          <cell r="A529" t="str">
            <v>RHES-SHSTG-NGAHP</v>
          </cell>
          <cell r="B529" t="str">
            <v>VAR_fout</v>
          </cell>
          <cell r="C529" t="str">
            <v>AUX_RHES-SHSTG-NGAHP_OUT</v>
          </cell>
          <cell r="H529">
            <v>0.46121808787235841</v>
          </cell>
          <cell r="I529">
            <v>0.53106034995568741</v>
          </cell>
          <cell r="J529">
            <v>0.64441857876229147</v>
          </cell>
        </row>
        <row r="530">
          <cell r="A530" t="str">
            <v>RHES-SHSTG-NGAHP</v>
          </cell>
          <cell r="B530" t="str">
            <v>VAR_fin</v>
          </cell>
          <cell r="C530" t="str">
            <v>RHES-SHANGAH</v>
          </cell>
          <cell r="H530">
            <v>0.46076302281122106</v>
          </cell>
          <cell r="I530">
            <v>0.5305347584800244</v>
          </cell>
          <cell r="J530">
            <v>0.64377956454539464</v>
          </cell>
        </row>
        <row r="531">
          <cell r="A531" t="str">
            <v>RHES-SHSTG-NGAHP</v>
          </cell>
          <cell r="B531" t="str">
            <v>VAR_ncap</v>
          </cell>
          <cell r="C531" t="str">
            <v>-</v>
          </cell>
          <cell r="H531">
            <v>1.8429397701573501E-2</v>
          </cell>
          <cell r="I531">
            <v>4.4528907493909302E-2</v>
          </cell>
          <cell r="J531">
            <v>6.8655808597722107E-2</v>
          </cell>
        </row>
        <row r="532">
          <cell r="A532" t="str">
            <v>RHES-SHSTG-NGAHP</v>
          </cell>
          <cell r="B532" t="str">
            <v>VAR_cap</v>
          </cell>
          <cell r="C532" t="str">
            <v>-</v>
          </cell>
          <cell r="H532">
            <v>7.4424479506760677E-2</v>
          </cell>
          <cell r="I532">
            <v>8.6655475405867877E-2</v>
          </cell>
          <cell r="J532">
            <v>0.10876240798308663</v>
          </cell>
        </row>
        <row r="533">
          <cell r="A533" t="str">
            <v>D-RHNS_SOLELC</v>
          </cell>
          <cell r="B533" t="str">
            <v>VAR_fout</v>
          </cell>
          <cell r="C533" t="str">
            <v>RHNS_ELC</v>
          </cell>
          <cell r="H533">
            <v>1.1508754252044147E-4</v>
          </cell>
          <cell r="I533">
            <v>1.3688482494592671E-4</v>
          </cell>
          <cell r="J533">
            <v>1.5886228692178834E-4</v>
          </cell>
        </row>
        <row r="534">
          <cell r="A534" t="str">
            <v>D-RHNS_SOLELC</v>
          </cell>
          <cell r="B534" t="str">
            <v>VAR_fout</v>
          </cell>
          <cell r="C534" t="str">
            <v>ELC5</v>
          </cell>
          <cell r="H534">
            <v>4.4758635596018146E-5</v>
          </cell>
          <cell r="I534">
            <v>4.2663900245596718E-5</v>
          </cell>
          <cell r="J534">
            <v>3.2563441851017701E-5</v>
          </cell>
        </row>
        <row r="535">
          <cell r="A535" t="str">
            <v>D-RHNS_SOLELC</v>
          </cell>
          <cell r="B535" t="str">
            <v>VAR_fin</v>
          </cell>
          <cell r="C535" t="str">
            <v>RHNS_SOL_ELC</v>
          </cell>
          <cell r="H535">
            <v>1.598461781164596E-4</v>
          </cell>
          <cell r="I535">
            <v>1.7954872519152353E-4</v>
          </cell>
          <cell r="J535">
            <v>1.9142572877280597E-4</v>
          </cell>
        </row>
        <row r="536">
          <cell r="A536" t="str">
            <v>D-IHFO</v>
          </cell>
          <cell r="B536" t="str">
            <v>VAR_fout</v>
          </cell>
          <cell r="C536" t="str">
            <v>CO2</v>
          </cell>
          <cell r="H536">
            <v>1.50263068178061E-2</v>
          </cell>
          <cell r="I536">
            <v>7.0849694855384003E-3</v>
          </cell>
        </row>
        <row r="537">
          <cell r="A537" t="str">
            <v>D-IHFO</v>
          </cell>
          <cell r="B537" t="str">
            <v>VAR_fout</v>
          </cell>
          <cell r="C537" t="str">
            <v>IHFO</v>
          </cell>
          <cell r="H537">
            <v>1.9188766210856832E-4</v>
          </cell>
          <cell r="I537">
            <v>9.0475873225181471E-5</v>
          </cell>
        </row>
        <row r="538">
          <cell r="A538" t="str">
            <v>D-IHFO</v>
          </cell>
          <cell r="B538" t="str">
            <v>VAR_fin</v>
          </cell>
          <cell r="C538" t="str">
            <v>HFO</v>
          </cell>
          <cell r="H538">
            <v>1.9514684178969011E-4</v>
          </cell>
          <cell r="I538">
            <v>9.2012590721277923E-5</v>
          </cell>
        </row>
        <row r="539">
          <cell r="A539" t="str">
            <v>RHEM-SHCONBR</v>
          </cell>
          <cell r="B539" t="str">
            <v>VAR_fout</v>
          </cell>
          <cell r="C539" t="str">
            <v>RHEM-SHCON</v>
          </cell>
          <cell r="H539">
            <v>2.1002594592055862E-5</v>
          </cell>
          <cell r="I539">
            <v>2.2366502077445685E-5</v>
          </cell>
          <cell r="J539">
            <v>4.7535988708135781E-5</v>
          </cell>
        </row>
        <row r="540">
          <cell r="A540" t="str">
            <v>RHEM-SHCONBR</v>
          </cell>
          <cell r="B540" t="str">
            <v>VAR_fin</v>
          </cell>
          <cell r="C540" t="str">
            <v>CON</v>
          </cell>
          <cell r="H540">
            <v>2.1002594592055862E-5</v>
          </cell>
          <cell r="I540">
            <v>2.2366502077445685E-5</v>
          </cell>
          <cell r="J540">
            <v>4.7535988708135781E-5</v>
          </cell>
        </row>
        <row r="541">
          <cell r="A541" t="str">
            <v>RHEM-SHCONBR</v>
          </cell>
          <cell r="B541" t="str">
            <v>VAR_ncap</v>
          </cell>
          <cell r="C541" t="str">
            <v>-</v>
          </cell>
          <cell r="H541">
            <v>3.5487284997636798E-8</v>
          </cell>
          <cell r="I541">
            <v>2.81291906609074E-7</v>
          </cell>
          <cell r="J541">
            <v>1.8644514786574501E-6</v>
          </cell>
        </row>
        <row r="542">
          <cell r="A542" t="str">
            <v>RHEM-SHCONBR</v>
          </cell>
          <cell r="B542" t="str">
            <v>VAR_cap</v>
          </cell>
          <cell r="C542" t="str">
            <v>-</v>
          </cell>
          <cell r="H542">
            <v>6.3594623109818797E-7</v>
          </cell>
          <cell r="I542">
            <v>9.1723813770726101E-7</v>
          </cell>
          <cell r="J542">
            <v>2.7816896163647099E-6</v>
          </cell>
        </row>
        <row r="543">
          <cell r="A543" t="str">
            <v>RHEM-SHSOLBR</v>
          </cell>
          <cell r="B543" t="str">
            <v>VAR_fout</v>
          </cell>
          <cell r="C543" t="str">
            <v>RHEM-SHASOL</v>
          </cell>
          <cell r="H543">
            <v>1.2619989637914169E-2</v>
          </cell>
          <cell r="I543">
            <v>1.2954316442593221E-2</v>
          </cell>
          <cell r="J543">
            <v>1.3160245214747093E-2</v>
          </cell>
        </row>
        <row r="544">
          <cell r="A544" t="str">
            <v>RHEM-SHSOLBR</v>
          </cell>
          <cell r="B544" t="str">
            <v>VAR_fin</v>
          </cell>
          <cell r="C544" t="str">
            <v>SOL</v>
          </cell>
          <cell r="H544">
            <v>1.2619989637914169E-2</v>
          </cell>
          <cell r="I544">
            <v>1.2954316442593221E-2</v>
          </cell>
          <cell r="J544">
            <v>1.3160245214747093E-2</v>
          </cell>
        </row>
        <row r="545">
          <cell r="A545" t="str">
            <v>RHEM-SHSOLBR</v>
          </cell>
          <cell r="B545" t="str">
            <v>VAR_ncap</v>
          </cell>
          <cell r="C545" t="str">
            <v>-</v>
          </cell>
          <cell r="H545">
            <v>6.7442700400959603E-8</v>
          </cell>
          <cell r="I545">
            <v>1.8852985777414301E-3</v>
          </cell>
          <cell r="J545">
            <v>5.4542787491492395E-4</v>
          </cell>
        </row>
        <row r="546">
          <cell r="A546" t="str">
            <v>RHEM-SHSOLBR</v>
          </cell>
          <cell r="B546" t="str">
            <v>VAR_cap</v>
          </cell>
          <cell r="C546" t="str">
            <v>-</v>
          </cell>
          <cell r="H546">
            <v>1.786115824358769E-2</v>
          </cell>
          <cell r="I546">
            <v>1.8853304669413807E-3</v>
          </cell>
          <cell r="J546">
            <v>1.9136524446423304E-3</v>
          </cell>
        </row>
        <row r="547">
          <cell r="A547" t="str">
            <v>SCOM-SHH2BR</v>
          </cell>
          <cell r="B547" t="str">
            <v>VAR_ncap</v>
          </cell>
          <cell r="C547" t="str">
            <v>-</v>
          </cell>
          <cell r="H547">
            <v>0.55766161037049999</v>
          </cell>
          <cell r="I547">
            <v>7.9614425000310005E-2</v>
          </cell>
          <cell r="J547">
            <v>0.65054479933415299</v>
          </cell>
        </row>
        <row r="548">
          <cell r="A548" t="str">
            <v>SCOM-SHH2BR</v>
          </cell>
          <cell r="B548" t="str">
            <v>VAR_cap</v>
          </cell>
          <cell r="C548" t="str">
            <v>-</v>
          </cell>
          <cell r="H548">
            <v>0.55766157515464509</v>
          </cell>
          <cell r="I548">
            <v>0.63727590693859693</v>
          </cell>
          <cell r="J548">
            <v>0.94421139841474233</v>
          </cell>
        </row>
        <row r="549">
          <cell r="A549" t="str">
            <v>ITOT-SWHCONBR1</v>
          </cell>
          <cell r="B549" t="str">
            <v>VAR_fout</v>
          </cell>
          <cell r="C549" t="str">
            <v>ITOT-ELS</v>
          </cell>
          <cell r="H549">
            <v>0.31987818124269579</v>
          </cell>
          <cell r="I549">
            <v>0.31987857878268189</v>
          </cell>
          <cell r="J549">
            <v>0.31987869192867174</v>
          </cell>
        </row>
        <row r="550">
          <cell r="A550" t="str">
            <v>ITOT-SWHCONBR1</v>
          </cell>
          <cell r="B550" t="str">
            <v>VAR_fout</v>
          </cell>
          <cell r="C550" t="str">
            <v>ITOT-SWHC</v>
          </cell>
          <cell r="H550">
            <v>1.5206530904950766</v>
          </cell>
          <cell r="I550">
            <v>1.5206549803407858</v>
          </cell>
          <cell r="J550">
            <v>1.5206555182199217</v>
          </cell>
        </row>
        <row r="551">
          <cell r="A551" t="str">
            <v>ITOT-SWHCONBR1</v>
          </cell>
          <cell r="B551" t="str">
            <v>VAR_fin</v>
          </cell>
          <cell r="C551" t="str">
            <v>CON</v>
          </cell>
          <cell r="H551">
            <v>1.840531271737772</v>
          </cell>
          <cell r="I551">
            <v>1.8405335591234691</v>
          </cell>
          <cell r="J551">
            <v>1.8405342101485944</v>
          </cell>
        </row>
        <row r="552">
          <cell r="A552" t="str">
            <v>ITOT-SWHCONBR1</v>
          </cell>
          <cell r="B552" t="str">
            <v>VAR_ncap</v>
          </cell>
          <cell r="C552" t="str">
            <v>-</v>
          </cell>
          <cell r="H552">
            <v>4.8811865547491999E-2</v>
          </cell>
          <cell r="I552">
            <v>5.12825977618502E-2</v>
          </cell>
          <cell r="J552">
            <v>4.2229301988169002E-2</v>
          </cell>
        </row>
        <row r="553">
          <cell r="A553" t="str">
            <v>ITOT-SWHCONBR1</v>
          </cell>
          <cell r="B553" t="str">
            <v>VAR_cap</v>
          </cell>
          <cell r="C553" t="str">
            <v>-</v>
          </cell>
          <cell r="H553">
            <v>0.100094453650619</v>
          </cell>
          <cell r="I553">
            <v>0.100094503431909</v>
          </cell>
          <cell r="J553">
            <v>0.10009396042406001</v>
          </cell>
        </row>
        <row r="554">
          <cell r="A554" t="str">
            <v>SCOM-SHLTHCHPWOD</v>
          </cell>
          <cell r="B554" t="str">
            <v>VAR_ncap</v>
          </cell>
          <cell r="C554" t="str">
            <v>-</v>
          </cell>
          <cell r="H554">
            <v>2.4418283966212699E-5</v>
          </cell>
          <cell r="I554">
            <v>1.4390949076118899E-5</v>
          </cell>
          <cell r="J554">
            <v>8.5353155684195998E-6</v>
          </cell>
        </row>
        <row r="555">
          <cell r="A555" t="str">
            <v>SCOM-SHLTHCHPWOD</v>
          </cell>
          <cell r="B555" t="str">
            <v>VAR_cap</v>
          </cell>
          <cell r="C555" t="str">
            <v>-</v>
          </cell>
          <cell r="H555">
            <v>3.1269618030222595E-5</v>
          </cell>
          <cell r="I555">
            <v>2.3067845532369799E-5</v>
          </cell>
          <cell r="J555">
            <v>1.3432210684932102E-5</v>
          </cell>
        </row>
        <row r="556">
          <cell r="A556" t="str">
            <v>SCOM-SHSTG-NGAHP</v>
          </cell>
          <cell r="B556" t="str">
            <v>VAR_fout</v>
          </cell>
          <cell r="C556" t="str">
            <v>SCOM-SHANGAH</v>
          </cell>
          <cell r="H556">
            <v>6.3927696485173135E-6</v>
          </cell>
          <cell r="I556">
            <v>4.8451270465851571E-6</v>
          </cell>
          <cell r="J556">
            <v>9.8474576180779537E-7</v>
          </cell>
        </row>
        <row r="557">
          <cell r="A557" t="str">
            <v>SCOM-SHSTG-NGAHP</v>
          </cell>
          <cell r="B557" t="str">
            <v>VAR_fin</v>
          </cell>
          <cell r="C557" t="str">
            <v>SCOM-SHANGAH</v>
          </cell>
          <cell r="H557">
            <v>5.8197857475574432E-6</v>
          </cell>
          <cell r="I557">
            <v>4.6755325407645246E-6</v>
          </cell>
        </row>
        <row r="558">
          <cell r="A558" t="str">
            <v>SCOM-SHSTG-NGAHP</v>
          </cell>
          <cell r="B558" t="str">
            <v>VAR_ncap</v>
          </cell>
          <cell r="C558" t="str">
            <v>-</v>
          </cell>
          <cell r="H558">
            <v>2.46647974202296E-2</v>
          </cell>
          <cell r="I558">
            <v>5.8007169260280898E-2</v>
          </cell>
          <cell r="J558">
            <v>0.10562232510718</v>
          </cell>
        </row>
        <row r="559">
          <cell r="A559" t="str">
            <v>SCOM-SHSTG-NGAHP</v>
          </cell>
          <cell r="B559" t="str">
            <v>VAR_cap</v>
          </cell>
          <cell r="C559" t="str">
            <v>-</v>
          </cell>
          <cell r="H559">
            <v>8.7473089657456968E-2</v>
          </cell>
          <cell r="I559">
            <v>0.10972149115143902</v>
          </cell>
          <cell r="J559">
            <v>0.15814451474671967</v>
          </cell>
        </row>
        <row r="560">
          <cell r="A560" t="str">
            <v>ITOT-SWHCONBR2</v>
          </cell>
          <cell r="B560" t="str">
            <v>VAR_fout</v>
          </cell>
          <cell r="C560" t="str">
            <v>ITOT-ELS</v>
          </cell>
          <cell r="H560">
            <v>9.2603241111160301E-5</v>
          </cell>
          <cell r="I560">
            <v>1.3511065150730589E-4</v>
          </cell>
          <cell r="J560">
            <v>1.344283691561148E-4</v>
          </cell>
        </row>
        <row r="561">
          <cell r="A561" t="str">
            <v>ITOT-SWHCONBR2</v>
          </cell>
          <cell r="B561" t="str">
            <v>VAR_fout</v>
          </cell>
          <cell r="C561" t="str">
            <v>ITOT-SWHC</v>
          </cell>
          <cell r="H561">
            <v>1.4314688914940677E-4</v>
          </cell>
          <cell r="I561">
            <v>2.0885521092079312E-4</v>
          </cell>
          <cell r="J561">
            <v>2.0780053297515534E-4</v>
          </cell>
        </row>
        <row r="562">
          <cell r="A562" t="str">
            <v>ITOT-SWHCONBR2</v>
          </cell>
          <cell r="B562" t="str">
            <v>VAR_fin</v>
          </cell>
          <cell r="C562" t="str">
            <v>CON</v>
          </cell>
          <cell r="H562">
            <v>2.3575013026056697E-4</v>
          </cell>
          <cell r="I562">
            <v>3.4396586242809915E-4</v>
          </cell>
          <cell r="J562">
            <v>3.4222890213126995E-4</v>
          </cell>
        </row>
        <row r="563">
          <cell r="A563" t="str">
            <v>ITOT-SWHCONBR2</v>
          </cell>
          <cell r="B563" t="str">
            <v>VAR_ncap</v>
          </cell>
          <cell r="C563" t="str">
            <v>-</v>
          </cell>
          <cell r="H563">
            <v>3.8320732408788598E-6</v>
          </cell>
          <cell r="I563">
            <v>8.5764470189048301E-6</v>
          </cell>
          <cell r="J563">
            <v>1.0531841525731201E-5</v>
          </cell>
        </row>
        <row r="564">
          <cell r="A564" t="str">
            <v>ITOT-SWHCONBR2</v>
          </cell>
          <cell r="B564" t="str">
            <v>VAR_cap</v>
          </cell>
          <cell r="C564" t="str">
            <v>-</v>
          </cell>
          <cell r="H564">
            <v>1.26440774037592E-5</v>
          </cell>
          <cell r="I564">
            <v>1.84269984636606E-5</v>
          </cell>
          <cell r="J564">
            <v>1.8377003127542401E-5</v>
          </cell>
        </row>
        <row r="565">
          <cell r="A565" t="str">
            <v>RHES-SHCONBR1</v>
          </cell>
          <cell r="B565" t="str">
            <v>VAR_fout</v>
          </cell>
          <cell r="C565" t="str">
            <v>RHES-SHCON</v>
          </cell>
          <cell r="H565">
            <v>3.1670407628660739</v>
          </cell>
          <cell r="I565">
            <v>4.145123548396799</v>
          </cell>
          <cell r="J565">
            <v>6.4142219730654801</v>
          </cell>
        </row>
        <row r="566">
          <cell r="A566" t="str">
            <v>RHES-SHCONBR1</v>
          </cell>
          <cell r="B566" t="str">
            <v>VAR_fin</v>
          </cell>
          <cell r="C566" t="str">
            <v>CON</v>
          </cell>
          <cell r="H566">
            <v>3.1670407628660739</v>
          </cell>
          <cell r="I566">
            <v>4.145123548396799</v>
          </cell>
          <cell r="J566">
            <v>6.4142219730654801</v>
          </cell>
        </row>
        <row r="567">
          <cell r="A567" t="str">
            <v>RHES-SHCONBR1</v>
          </cell>
          <cell r="B567" t="str">
            <v>VAR_ncap</v>
          </cell>
          <cell r="C567" t="str">
            <v>-</v>
          </cell>
          <cell r="H567">
            <v>0.13474802350180301</v>
          </cell>
          <cell r="I567">
            <v>7.9016748742978801E-2</v>
          </cell>
          <cell r="J567">
            <v>0.225238958831188</v>
          </cell>
        </row>
        <row r="568">
          <cell r="A568" t="str">
            <v>RHES-SHCONBR1</v>
          </cell>
          <cell r="B568" t="str">
            <v>VAR_cap</v>
          </cell>
          <cell r="C568" t="str">
            <v>-</v>
          </cell>
          <cell r="H568">
            <v>0.255857802077257</v>
          </cell>
          <cell r="I568">
            <v>0.33487455082023598</v>
          </cell>
          <cell r="J568">
            <v>0.51818990179558</v>
          </cell>
        </row>
        <row r="569">
          <cell r="A569" t="str">
            <v>ITOT-SWHCONBR3</v>
          </cell>
          <cell r="B569" t="str">
            <v>VAR_fout</v>
          </cell>
          <cell r="C569" t="str">
            <v>ITOT-ELS</v>
          </cell>
          <cell r="H569">
            <v>3.7981245514742598E-5</v>
          </cell>
          <cell r="I569">
            <v>3.9531508635189161E-5</v>
          </cell>
          <cell r="J569">
            <v>3.9137871652096891E-5</v>
          </cell>
        </row>
        <row r="570">
          <cell r="A570" t="str">
            <v>ITOT-SWHCONBR3</v>
          </cell>
          <cell r="B570" t="str">
            <v>VAR_fout</v>
          </cell>
          <cell r="C570" t="str">
            <v>ITOT-SWHC</v>
          </cell>
          <cell r="H570">
            <v>7.5375936270649649E-5</v>
          </cell>
          <cell r="I570">
            <v>7.8452521374320562E-5</v>
          </cell>
          <cell r="J570">
            <v>7.7671326451689054E-5</v>
          </cell>
        </row>
        <row r="571">
          <cell r="A571" t="str">
            <v>ITOT-SWHCONBR3</v>
          </cell>
          <cell r="B571" t="str">
            <v>VAR_fin</v>
          </cell>
          <cell r="C571" t="str">
            <v>CON</v>
          </cell>
          <cell r="H571">
            <v>1.1335718178539227E-4</v>
          </cell>
          <cell r="I571">
            <v>1.1798403000950976E-4</v>
          </cell>
          <cell r="J571">
            <v>1.1680919810378607E-4</v>
          </cell>
        </row>
        <row r="572">
          <cell r="A572" t="str">
            <v>ITOT-SWHCONBR3</v>
          </cell>
          <cell r="B572" t="str">
            <v>VAR_ncap</v>
          </cell>
          <cell r="C572" t="str">
            <v>-</v>
          </cell>
          <cell r="H572">
            <v>1.89800728270119E-6</v>
          </cell>
          <cell r="I572">
            <v>1.45342381931271E-6</v>
          </cell>
          <cell r="J572">
            <v>4.2455447628809801E-6</v>
          </cell>
        </row>
        <row r="573">
          <cell r="A573" t="str">
            <v>ITOT-SWHCONBR3</v>
          </cell>
          <cell r="B573" t="str">
            <v>VAR_cap</v>
          </cell>
          <cell r="C573" t="str">
            <v>-</v>
          </cell>
          <cell r="H573">
            <v>5.9625481598320498E-6</v>
          </cell>
          <cell r="I573">
            <v>6.1274568761305304E-6</v>
          </cell>
          <cell r="J573">
            <v>6.1031900817491204E-6</v>
          </cell>
        </row>
        <row r="574">
          <cell r="A574" t="str">
            <v>ITOT-ELCSPECADV</v>
          </cell>
          <cell r="B574" t="str">
            <v>VAR_fout</v>
          </cell>
          <cell r="C574" t="str">
            <v>ITOT-ELS</v>
          </cell>
          <cell r="H574">
            <v>9.8395778130817832E-5</v>
          </cell>
          <cell r="I574">
            <v>1.1560436786776983E-4</v>
          </cell>
          <cell r="J574">
            <v>7.0078305615355643E-5</v>
          </cell>
        </row>
        <row r="575">
          <cell r="A575" t="str">
            <v>ITOT-ELCSPECADV</v>
          </cell>
          <cell r="B575" t="str">
            <v>VAR_fin</v>
          </cell>
          <cell r="C575" t="str">
            <v>ITOT_ELC</v>
          </cell>
          <cell r="H575">
            <v>9.1530956400760765E-5</v>
          </cell>
          <cell r="I575">
            <v>1.0509487987979071E-4</v>
          </cell>
          <cell r="J575">
            <v>6.0937657056831012E-5</v>
          </cell>
        </row>
        <row r="576">
          <cell r="A576" t="str">
            <v>ITOT-ELCSPECADV</v>
          </cell>
          <cell r="B576" t="str">
            <v>VAR_ncap</v>
          </cell>
          <cell r="C576" t="str">
            <v>-</v>
          </cell>
          <cell r="H576">
            <v>1.83621245708384E-6</v>
          </cell>
          <cell r="I576">
            <v>1.5426485186487599E-7</v>
          </cell>
          <cell r="J576">
            <v>5.28113105979832E-8</v>
          </cell>
        </row>
        <row r="577">
          <cell r="A577" t="str">
            <v>ITOT-ELCSPECADV</v>
          </cell>
          <cell r="B577" t="str">
            <v>VAR_cap</v>
          </cell>
          <cell r="C577" t="str">
            <v>-</v>
          </cell>
          <cell r="H577">
            <v>7.1385478912944275E-6</v>
          </cell>
          <cell r="I577">
            <v>7.2621647439930557E-6</v>
          </cell>
          <cell r="J577">
            <v>5.4165964802874829E-6</v>
          </cell>
        </row>
        <row r="578">
          <cell r="A578" t="str">
            <v>RHES-SHELCBR</v>
          </cell>
          <cell r="B578" t="str">
            <v>VAR_fout</v>
          </cell>
          <cell r="C578" t="str">
            <v>RHES-SHAELCB</v>
          </cell>
          <cell r="H578">
            <v>1.4318783126716776E-2</v>
          </cell>
          <cell r="I578">
            <v>4.0314284920953446E-3</v>
          </cell>
          <cell r="J578">
            <v>1.9883156990851028E-3</v>
          </cell>
        </row>
        <row r="579">
          <cell r="A579" t="str">
            <v>RHES-SHELCBR</v>
          </cell>
          <cell r="B579" t="str">
            <v>VAR_fin</v>
          </cell>
          <cell r="C579" t="str">
            <v>RHES_ELC</v>
          </cell>
          <cell r="H579">
            <v>1.5399735740662534E-2</v>
          </cell>
          <cell r="I579">
            <v>4.2931374717584386E-3</v>
          </cell>
          <cell r="J579">
            <v>2.1071249325180261E-3</v>
          </cell>
        </row>
        <row r="580">
          <cell r="A580" t="str">
            <v>RHES-SHELCBR</v>
          </cell>
          <cell r="B580" t="str">
            <v>VAR_ncap</v>
          </cell>
          <cell r="C580" t="str">
            <v>-</v>
          </cell>
          <cell r="H580">
            <v>1.6642404917537399E-7</v>
          </cell>
          <cell r="I580">
            <v>3.2568264158082302E-4</v>
          </cell>
          <cell r="J580">
            <v>2.4959770242085099E-8</v>
          </cell>
        </row>
        <row r="581">
          <cell r="A581" t="str">
            <v>RHES-SHELCBR</v>
          </cell>
          <cell r="B581" t="str">
            <v>VAR_cap</v>
          </cell>
          <cell r="C581" t="str">
            <v>-</v>
          </cell>
          <cell r="H581">
            <v>1.9685471535624E-3</v>
          </cell>
          <cell r="I581">
            <v>3.2580782700357853E-4</v>
          </cell>
          <cell r="J581">
            <v>2.3285618226625925E-4</v>
          </cell>
        </row>
        <row r="582">
          <cell r="A582" t="str">
            <v>RHSA-WHELCBR</v>
          </cell>
          <cell r="B582" t="str">
            <v>VAR_fout</v>
          </cell>
          <cell r="C582" t="str">
            <v>RHSA-WHAELCB</v>
          </cell>
          <cell r="H582">
            <v>1.9605160105899688</v>
          </cell>
          <cell r="I582">
            <v>1.8871422067111558</v>
          </cell>
          <cell r="J582">
            <v>1.6960918685284245</v>
          </cell>
        </row>
        <row r="583">
          <cell r="A583" t="str">
            <v>RHSA-WHELCBR</v>
          </cell>
          <cell r="B583" t="str">
            <v>VAR_fin</v>
          </cell>
          <cell r="C583" t="str">
            <v>RHSA_ELC</v>
          </cell>
          <cell r="H583">
            <v>3.959641948246897</v>
          </cell>
          <cell r="I583">
            <v>3.7550463593416477</v>
          </cell>
          <cell r="J583">
            <v>3.283623159725424</v>
          </cell>
        </row>
        <row r="584">
          <cell r="A584" t="str">
            <v>RHSA-WHELCBR</v>
          </cell>
          <cell r="B584" t="str">
            <v>VAR_ncap</v>
          </cell>
          <cell r="C584" t="str">
            <v>-</v>
          </cell>
          <cell r="H584">
            <v>5.4735230620513303E-2</v>
          </cell>
          <cell r="I584">
            <v>7.6986249389601302E-2</v>
          </cell>
          <cell r="J584">
            <v>3.6906747803051899E-2</v>
          </cell>
        </row>
        <row r="585">
          <cell r="A585" t="str">
            <v>RHSA-WHELCBR</v>
          </cell>
          <cell r="B585" t="str">
            <v>VAR_cap</v>
          </cell>
          <cell r="C585" t="str">
            <v>-</v>
          </cell>
          <cell r="H585">
            <v>0.13585354081093962</v>
          </cell>
          <cell r="I585">
            <v>0.13172136807568893</v>
          </cell>
          <cell r="J585">
            <v>0.11593087664498301</v>
          </cell>
        </row>
        <row r="586">
          <cell r="A586" t="str">
            <v>ITOT-SWHLTHDH</v>
          </cell>
          <cell r="B586" t="str">
            <v>VAR_fout</v>
          </cell>
          <cell r="C586" t="str">
            <v>ITOT-SWH</v>
          </cell>
          <cell r="H586">
            <v>7.1660477353406664</v>
          </cell>
          <cell r="I586">
            <v>7.2038141132456026</v>
          </cell>
          <cell r="J586">
            <v>9.0820047784298055</v>
          </cell>
        </row>
        <row r="587">
          <cell r="A587" t="str">
            <v>ITOT-SWHLTHDH</v>
          </cell>
          <cell r="B587" t="str">
            <v>VAR_fin</v>
          </cell>
          <cell r="C587" t="str">
            <v>ITOT_LTH_DH</v>
          </cell>
          <cell r="H587">
            <v>7.6289168097557241</v>
          </cell>
          <cell r="I587">
            <v>7.6289181852543591</v>
          </cell>
          <cell r="J587">
            <v>9.5600050299261028</v>
          </cell>
        </row>
        <row r="588">
          <cell r="A588" t="str">
            <v>ITOT-SWHLTHDH</v>
          </cell>
          <cell r="B588" t="str">
            <v>VAR_fin</v>
          </cell>
          <cell r="C588" t="str">
            <v>ITOTLTHDHC</v>
          </cell>
          <cell r="H588">
            <v>7.1660477353406664</v>
          </cell>
          <cell r="I588">
            <v>7.2038141132456026</v>
          </cell>
          <cell r="J588">
            <v>9.0820047784298055</v>
          </cell>
        </row>
        <row r="589">
          <cell r="A589" t="str">
            <v>ITOT-SWHLTHDH</v>
          </cell>
          <cell r="B589" t="str">
            <v>VAR_ncap</v>
          </cell>
          <cell r="C589" t="str">
            <v>-</v>
          </cell>
          <cell r="H589">
            <v>0.44728048151294802</v>
          </cell>
          <cell r="I589">
            <v>0.31355292811025098</v>
          </cell>
          <cell r="J589">
            <v>0.385486676526966</v>
          </cell>
        </row>
        <row r="590">
          <cell r="A590" t="str">
            <v>ITOT-SWHLTHDH</v>
          </cell>
          <cell r="B590" t="str">
            <v>VAR_cap</v>
          </cell>
          <cell r="C590" t="str">
            <v>-</v>
          </cell>
          <cell r="H590">
            <v>0.79527121435806702</v>
          </cell>
          <cell r="I590">
            <v>0.79535218690245646</v>
          </cell>
          <cell r="J590">
            <v>0.79547023029614361</v>
          </cell>
        </row>
        <row r="591">
          <cell r="A591" t="str">
            <v>RHES-SHCONBR2</v>
          </cell>
          <cell r="B591" t="str">
            <v>VAR_fout</v>
          </cell>
          <cell r="C591" t="str">
            <v>RHES-SHCON</v>
          </cell>
          <cell r="H591">
            <v>0.94091912158673996</v>
          </cell>
          <cell r="I591">
            <v>1.6729571654622086</v>
          </cell>
          <cell r="J591">
            <v>3.421886810392099</v>
          </cell>
        </row>
        <row r="592">
          <cell r="A592" t="str">
            <v>RHES-SHCONBR2</v>
          </cell>
          <cell r="B592" t="str">
            <v>VAR_fin</v>
          </cell>
          <cell r="C592" t="str">
            <v>CON</v>
          </cell>
          <cell r="H592">
            <v>0.94091912158673996</v>
          </cell>
          <cell r="I592">
            <v>1.6729571654622086</v>
          </cell>
          <cell r="J592">
            <v>3.421886810392099</v>
          </cell>
        </row>
        <row r="593">
          <cell r="A593" t="str">
            <v>RHES-SHCONBR2</v>
          </cell>
          <cell r="B593" t="str">
            <v>VAR_ncap</v>
          </cell>
          <cell r="C593" t="str">
            <v>-</v>
          </cell>
          <cell r="H593">
            <v>9.7137407168576204E-3</v>
          </cell>
          <cell r="I593">
            <v>5.9139367586172401E-2</v>
          </cell>
          <cell r="J593">
            <v>0.17180269324040701</v>
          </cell>
        </row>
        <row r="594">
          <cell r="A594" t="str">
            <v>RHES-SHCONBR2</v>
          </cell>
          <cell r="B594" t="str">
            <v>VAR_cap</v>
          </cell>
          <cell r="C594" t="str">
            <v>-</v>
          </cell>
          <cell r="H594">
            <v>7.6014538591557004E-2</v>
          </cell>
          <cell r="I594">
            <v>0.13515390617772899</v>
          </cell>
          <cell r="J594">
            <v>0.27644598691525801</v>
          </cell>
        </row>
        <row r="595">
          <cell r="A595" t="str">
            <v>ITOT-SWHCONBR4</v>
          </cell>
          <cell r="B595" t="str">
            <v>VAR_fout</v>
          </cell>
          <cell r="C595" t="str">
            <v>ITOT-ELS</v>
          </cell>
          <cell r="H595">
            <v>6.4533040126632025E-6</v>
          </cell>
          <cell r="I595">
            <v>6.6467534649245197E-6</v>
          </cell>
          <cell r="J595">
            <v>6.0674163988878939E-6</v>
          </cell>
        </row>
        <row r="596">
          <cell r="A596" t="str">
            <v>ITOT-SWHCONBR4</v>
          </cell>
          <cell r="B596" t="str">
            <v>VAR_fout</v>
          </cell>
          <cell r="C596" t="str">
            <v>ITOT-SWHC</v>
          </cell>
          <cell r="H596">
            <v>7.6079206477345626E-5</v>
          </cell>
          <cell r="I596">
            <v>7.7639494908744838E-5</v>
          </cell>
          <cell r="J596">
            <v>7.4783533815330134E-5</v>
          </cell>
        </row>
        <row r="597">
          <cell r="A597" t="str">
            <v>ITOT-SWHCONBR4</v>
          </cell>
          <cell r="B597" t="str">
            <v>VAR_fin</v>
          </cell>
          <cell r="C597" t="str">
            <v>CON</v>
          </cell>
          <cell r="H597">
            <v>8.3158621578570345E-5</v>
          </cell>
          <cell r="I597">
            <v>8.4864099871890806E-5</v>
          </cell>
          <cell r="J597">
            <v>8.1742382403910571E-5</v>
          </cell>
        </row>
        <row r="598">
          <cell r="A598" t="str">
            <v>ITOT-SWHCONBR4</v>
          </cell>
          <cell r="B598" t="str">
            <v>VAR_ncap</v>
          </cell>
          <cell r="C598" t="str">
            <v>-</v>
          </cell>
          <cell r="H598">
            <v>4.0963439111093399E-6</v>
          </cell>
          <cell r="I598">
            <v>1.4339108218149401E-7</v>
          </cell>
          <cell r="J598">
            <v>2.3485230921157199E-6</v>
          </cell>
        </row>
        <row r="599">
          <cell r="A599" t="str">
            <v>ITOT-SWHCONBR4</v>
          </cell>
          <cell r="B599" t="str">
            <v>VAR_cap</v>
          </cell>
          <cell r="C599" t="str">
            <v>-</v>
          </cell>
          <cell r="H599">
            <v>4.0963439111093399E-6</v>
          </cell>
          <cell r="I599">
            <v>4.2397349932908301E-6</v>
          </cell>
          <cell r="J599">
            <v>4.1853183719419602E-6</v>
          </cell>
        </row>
        <row r="600">
          <cell r="A600" t="str">
            <v>D-ITOT_NKEV_GAS_ELC_CHP</v>
          </cell>
          <cell r="B600" t="str">
            <v>VAR_fout</v>
          </cell>
          <cell r="C600" t="str">
            <v>ITOT_ELC</v>
          </cell>
          <cell r="H600">
            <v>0.5503510006480733</v>
          </cell>
          <cell r="I600">
            <v>9.6275134571665325E-2</v>
          </cell>
          <cell r="J600">
            <v>2.5045183340716329E-2</v>
          </cell>
        </row>
        <row r="601">
          <cell r="A601" t="str">
            <v>D-ITOT_NKEV_GAS_ELC_CHP</v>
          </cell>
          <cell r="B601" t="str">
            <v>VAR_fout</v>
          </cell>
          <cell r="C601" t="str">
            <v>ELC5</v>
          </cell>
          <cell r="H601">
            <v>5.0613165123207147E-4</v>
          </cell>
          <cell r="I601">
            <v>3.1108887471719516E-4</v>
          </cell>
          <cell r="J601">
            <v>1.6311924557962861E-4</v>
          </cell>
        </row>
        <row r="602">
          <cell r="A602" t="str">
            <v>D-ITOT_NKEV_GAS_ELC_CHP</v>
          </cell>
          <cell r="B602" t="str">
            <v>VAR_fin</v>
          </cell>
          <cell r="C602" t="str">
            <v>ITOT_NKEV_GAS_ELC_CHP</v>
          </cell>
          <cell r="H602">
            <v>0.55085713229930588</v>
          </cell>
          <cell r="I602">
            <v>9.6586223446382624E-2</v>
          </cell>
          <cell r="J602">
            <v>2.5208302586295972E-2</v>
          </cell>
        </row>
        <row r="603">
          <cell r="A603" t="str">
            <v>SCOM-SHELCBR</v>
          </cell>
          <cell r="B603" t="str">
            <v>VAR_fout</v>
          </cell>
          <cell r="C603" t="str">
            <v>SCOM-SHAELCB</v>
          </cell>
          <cell r="H603">
            <v>0.28976652709948386</v>
          </cell>
          <cell r="I603">
            <v>0.26295495345759562</v>
          </cell>
          <cell r="J603">
            <v>0.19422979940076948</v>
          </cell>
        </row>
        <row r="604">
          <cell r="A604" t="str">
            <v>SCOM-SHELCBR</v>
          </cell>
          <cell r="B604" t="str">
            <v>VAR_fin</v>
          </cell>
          <cell r="C604" t="str">
            <v>SCOM_ELC</v>
          </cell>
          <cell r="H604">
            <v>0.5846403207869173</v>
          </cell>
          <cell r="I604">
            <v>0.52296187041682118</v>
          </cell>
          <cell r="J604">
            <v>0.36963811986060863</v>
          </cell>
        </row>
        <row r="605">
          <cell r="A605" t="str">
            <v>SCOM-SHELCBR</v>
          </cell>
          <cell r="B605" t="str">
            <v>VAR_ncap</v>
          </cell>
          <cell r="C605" t="str">
            <v>-</v>
          </cell>
          <cell r="H605">
            <v>1.2180491210859099E-2</v>
          </cell>
          <cell r="I605">
            <v>1.10870367435597E-2</v>
          </cell>
          <cell r="J605">
            <v>2.3197002043833501E-3</v>
          </cell>
        </row>
        <row r="606">
          <cell r="A606" t="str">
            <v>SCOM-SHELCBR</v>
          </cell>
          <cell r="B606" t="str">
            <v>VAR_cap</v>
          </cell>
          <cell r="C606" t="str">
            <v>-</v>
          </cell>
          <cell r="H606">
            <v>2.4610089289260895E-2</v>
          </cell>
          <cell r="I606">
            <v>2.3267334423690372E-2</v>
          </cell>
          <cell r="J606">
            <v>1.551798262606338E-2</v>
          </cell>
        </row>
        <row r="607">
          <cell r="A607" t="str">
            <v>RHES-SHCONBR3</v>
          </cell>
          <cell r="B607" t="str">
            <v>VAR_fout</v>
          </cell>
          <cell r="C607" t="str">
            <v>RHES-SHCON</v>
          </cell>
          <cell r="H607">
            <v>1.35550927115483</v>
          </cell>
          <cell r="I607">
            <v>1.3555130128395685</v>
          </cell>
          <cell r="J607">
            <v>0.73171212445884048</v>
          </cell>
        </row>
        <row r="608">
          <cell r="A608" t="str">
            <v>RHES-SHCONBR3</v>
          </cell>
          <cell r="B608" t="str">
            <v>VAR_fin</v>
          </cell>
          <cell r="C608" t="str">
            <v>CON</v>
          </cell>
          <cell r="H608">
            <v>1.35550927115483</v>
          </cell>
          <cell r="I608">
            <v>1.3555130128395685</v>
          </cell>
          <cell r="J608">
            <v>0.73171212445884048</v>
          </cell>
        </row>
        <row r="609">
          <cell r="A609" t="str">
            <v>RHES-SHCONBR3</v>
          </cell>
          <cell r="B609" t="str">
            <v>VAR_ncap</v>
          </cell>
          <cell r="C609" t="str">
            <v>-</v>
          </cell>
          <cell r="J609">
            <v>1.0242132177432901E-8</v>
          </cell>
        </row>
        <row r="610">
          <cell r="A610" t="str">
            <v>RHES-SHCONBR3</v>
          </cell>
          <cell r="B610" t="str">
            <v>VAR_cap</v>
          </cell>
          <cell r="C610" t="str">
            <v>-</v>
          </cell>
          <cell r="H610">
            <v>0.109508299098125</v>
          </cell>
          <cell r="I610">
            <v>0.109508299098125</v>
          </cell>
          <cell r="J610">
            <v>5.9112936712497101E-2</v>
          </cell>
        </row>
        <row r="611">
          <cell r="A611" t="str">
            <v>ITOT-SWHCONBR5</v>
          </cell>
          <cell r="B611" t="str">
            <v>VAR_fout</v>
          </cell>
          <cell r="C611" t="str">
            <v>ITOT-ELS</v>
          </cell>
          <cell r="H611">
            <v>1.1267137031849517E-5</v>
          </cell>
          <cell r="I611">
            <v>1.1743323259966561E-5</v>
          </cell>
          <cell r="J611">
            <v>1.1143877788361491E-5</v>
          </cell>
        </row>
        <row r="612">
          <cell r="A612" t="str">
            <v>ITOT-SWHCONBR5</v>
          </cell>
          <cell r="B612" t="str">
            <v>VAR_fout</v>
          </cell>
          <cell r="C612" t="str">
            <v>ITOT-SWHC</v>
          </cell>
          <cell r="H612">
            <v>5.5865627514372599E-5</v>
          </cell>
          <cell r="I612">
            <v>5.7944157731204691E-5</v>
          </cell>
          <cell r="J612">
            <v>5.5419615657054829E-5</v>
          </cell>
        </row>
        <row r="613">
          <cell r="A613" t="str">
            <v>ITOT-SWHCONBR5</v>
          </cell>
          <cell r="B613" t="str">
            <v>VAR_fin</v>
          </cell>
          <cell r="C613" t="str">
            <v>CON</v>
          </cell>
          <cell r="H613">
            <v>6.7255440849710773E-5</v>
          </cell>
          <cell r="I613">
            <v>6.9757739172888469E-5</v>
          </cell>
          <cell r="J613">
            <v>6.6718496660184029E-5</v>
          </cell>
        </row>
        <row r="614">
          <cell r="A614" t="str">
            <v>ITOT-SWHCONBR5</v>
          </cell>
          <cell r="B614" t="str">
            <v>VAR_ncap</v>
          </cell>
          <cell r="C614" t="str">
            <v>-</v>
          </cell>
          <cell r="H614">
            <v>3.2364779501777898E-6</v>
          </cell>
          <cell r="I614">
            <v>1.2890046745528201E-7</v>
          </cell>
          <cell r="J614">
            <v>1.89896179109902E-6</v>
          </cell>
        </row>
        <row r="615">
          <cell r="A615" t="str">
            <v>ITOT-SWHCONBR5</v>
          </cell>
          <cell r="B615" t="str">
            <v>VAR_cap</v>
          </cell>
          <cell r="C615" t="str">
            <v>-</v>
          </cell>
          <cell r="H615">
            <v>3.2364779501777898E-6</v>
          </cell>
          <cell r="I615">
            <v>3.36537841763308E-6</v>
          </cell>
          <cell r="J615">
            <v>3.3615220436905901E-6</v>
          </cell>
        </row>
        <row r="616">
          <cell r="A616" t="str">
            <v>RHES-SHSTG-ELC</v>
          </cell>
          <cell r="B616" t="str">
            <v>VAR_fout</v>
          </cell>
          <cell r="C616" t="str">
            <v>RHES-SHAELCB</v>
          </cell>
          <cell r="H616">
            <v>2.3475349279468874E-3</v>
          </cell>
          <cell r="I616">
            <v>3.5246061015316359E-4</v>
          </cell>
          <cell r="J616">
            <v>2.3037149209755096E-4</v>
          </cell>
        </row>
        <row r="617">
          <cell r="A617" t="str">
            <v>RHES-SHSTG-ELC</v>
          </cell>
          <cell r="B617" t="str">
            <v>VAR_fout</v>
          </cell>
          <cell r="C617" t="str">
            <v>AUX_RHES-SHSTG-ELC_OUT</v>
          </cell>
          <cell r="H617">
            <v>2.3498824628748328E-3</v>
          </cell>
          <cell r="I617">
            <v>3.5281307076331675E-4</v>
          </cell>
          <cell r="J617">
            <v>2.3060186358964834E-4</v>
          </cell>
        </row>
        <row r="618">
          <cell r="A618" t="str">
            <v>RHES-SHSTG-ELC</v>
          </cell>
          <cell r="B618" t="str">
            <v>VAR_fin</v>
          </cell>
          <cell r="C618" t="str">
            <v>RHES-SHAELCB</v>
          </cell>
          <cell r="H618">
            <v>2.3477424994605045E-3</v>
          </cell>
          <cell r="I618">
            <v>3.5283560173963795E-4</v>
          </cell>
          <cell r="J618">
            <v>2.3070527449344555E-4</v>
          </cell>
        </row>
        <row r="619">
          <cell r="A619" t="str">
            <v>RHES-SHSTG-ELC</v>
          </cell>
          <cell r="B619" t="str">
            <v>VAR_ncap</v>
          </cell>
          <cell r="C619" t="str">
            <v>-</v>
          </cell>
          <cell r="H619">
            <v>3.4793389142426599E-6</v>
          </cell>
          <cell r="I619">
            <v>5.7973965736485202E-5</v>
          </cell>
          <cell r="J619">
            <v>4.2315725936164802E-6</v>
          </cell>
        </row>
        <row r="620">
          <cell r="A620" t="str">
            <v>RHES-SHSTG-ELC</v>
          </cell>
          <cell r="B620" t="str">
            <v>VAR_cap</v>
          </cell>
          <cell r="C620" t="str">
            <v>-</v>
          </cell>
          <cell r="H620">
            <v>3.4744946556130099E-4</v>
          </cell>
          <cell r="I620">
            <v>5.8684071015425205E-5</v>
          </cell>
          <cell r="J620">
            <v>4.4084518990078805E-5</v>
          </cell>
        </row>
        <row r="621">
          <cell r="A621" t="str">
            <v>RHES-SHCONBR4</v>
          </cell>
          <cell r="B621" t="str">
            <v>VAR_fout</v>
          </cell>
          <cell r="C621" t="str">
            <v>RHES-SHCON</v>
          </cell>
          <cell r="H621">
            <v>0.42668490024577171</v>
          </cell>
          <cell r="I621">
            <v>0.42668849046669599</v>
          </cell>
          <cell r="J621">
            <v>0.24667011628539076</v>
          </cell>
        </row>
        <row r="622">
          <cell r="A622" t="str">
            <v>RHES-SHCONBR4</v>
          </cell>
          <cell r="B622" t="str">
            <v>VAR_fin</v>
          </cell>
          <cell r="C622" t="str">
            <v>CON</v>
          </cell>
          <cell r="H622">
            <v>0.42668490024577171</v>
          </cell>
          <cell r="I622">
            <v>0.42668849046669599</v>
          </cell>
          <cell r="J622">
            <v>0.24667011628539076</v>
          </cell>
        </row>
        <row r="623">
          <cell r="A623" t="str">
            <v>RHES-SHCONBR4</v>
          </cell>
          <cell r="B623" t="str">
            <v>VAR_ncap</v>
          </cell>
          <cell r="C623" t="str">
            <v>-</v>
          </cell>
        </row>
        <row r="624">
          <cell r="A624" t="str">
            <v>RHES-SHCONBR4</v>
          </cell>
          <cell r="B624" t="str">
            <v>VAR_cap</v>
          </cell>
          <cell r="C624" t="str">
            <v>-</v>
          </cell>
          <cell r="H624">
            <v>3.4470607486783197E-2</v>
          </cell>
          <cell r="I624">
            <v>3.4470607486783197E-2</v>
          </cell>
          <cell r="J624">
            <v>1.9927493864657801E-2</v>
          </cell>
        </row>
        <row r="625">
          <cell r="A625" t="str">
            <v>ITOT-SWHCONBR6</v>
          </cell>
          <cell r="B625" t="str">
            <v>VAR_fout</v>
          </cell>
          <cell r="C625" t="str">
            <v>ITOT-SWHC</v>
          </cell>
          <cell r="I625">
            <v>4.9581733228781834E-5</v>
          </cell>
          <cell r="J625">
            <v>4.7258208455989727E-5</v>
          </cell>
        </row>
        <row r="626">
          <cell r="A626" t="str">
            <v>ITOT-SWHCONBR6</v>
          </cell>
          <cell r="B626" t="str">
            <v>VAR_fin</v>
          </cell>
          <cell r="C626" t="str">
            <v>CON</v>
          </cell>
          <cell r="I626">
            <v>4.9581733228781834E-5</v>
          </cell>
          <cell r="J626">
            <v>4.7258208455989727E-5</v>
          </cell>
        </row>
        <row r="627">
          <cell r="A627" t="str">
            <v>ITOT-SWHCONBR6</v>
          </cell>
          <cell r="B627" t="str">
            <v>VAR_ncap</v>
          </cell>
          <cell r="C627" t="str">
            <v>-</v>
          </cell>
          <cell r="I627">
            <v>2.2145858092521401E-6</v>
          </cell>
          <cell r="J627">
            <v>6.2876477774722699E-7</v>
          </cell>
        </row>
        <row r="628">
          <cell r="A628" t="str">
            <v>ITOT-SWHCONBR6</v>
          </cell>
          <cell r="B628" t="str">
            <v>VAR_cap</v>
          </cell>
          <cell r="C628" t="str">
            <v>-</v>
          </cell>
          <cell r="I628">
            <v>2.2145858092521401E-6</v>
          </cell>
          <cell r="J628">
            <v>2.2359639410209698E-6</v>
          </cell>
        </row>
        <row r="629">
          <cell r="A629" t="str">
            <v>RHNM-SHNGAHP</v>
          </cell>
          <cell r="B629" t="str">
            <v>VAR_fout</v>
          </cell>
          <cell r="C629" t="str">
            <v>CO2_R</v>
          </cell>
          <cell r="H629">
            <v>29.002091157688</v>
          </cell>
          <cell r="I629">
            <v>36.113887302347798</v>
          </cell>
          <cell r="J629">
            <v>48.830333379864598</v>
          </cell>
        </row>
        <row r="630">
          <cell r="A630" t="str">
            <v>RHNM-SHNGAHP</v>
          </cell>
          <cell r="B630" t="str">
            <v>VAR_fout</v>
          </cell>
          <cell r="C630" t="str">
            <v>RHNM-SHANGAH</v>
          </cell>
          <cell r="H630">
            <v>1.0223944690054423</v>
          </cell>
          <cell r="I630">
            <v>1.2822069216407852</v>
          </cell>
          <cell r="J630">
            <v>1.7479202769328588</v>
          </cell>
        </row>
        <row r="631">
          <cell r="A631" t="str">
            <v>RHNM-SHNGAHP</v>
          </cell>
          <cell r="B631" t="str">
            <v>VAR_fin</v>
          </cell>
          <cell r="C631" t="str">
            <v>RNGA</v>
          </cell>
          <cell r="H631">
            <v>0.51422147442709309</v>
          </cell>
          <cell r="I631">
            <v>0.64031715075084816</v>
          </cell>
          <cell r="J631">
            <v>0.86578605283447818</v>
          </cell>
        </row>
        <row r="632">
          <cell r="A632" t="str">
            <v>RHNM-SHNGAHP</v>
          </cell>
          <cell r="B632" t="str">
            <v>VAR_fin</v>
          </cell>
          <cell r="C632" t="str">
            <v>RHNMELCHPC</v>
          </cell>
          <cell r="H632">
            <v>1.0223944690054423</v>
          </cell>
          <cell r="I632">
            <v>1.2822069216407852</v>
          </cell>
          <cell r="J632">
            <v>1.7479202769328588</v>
          </cell>
        </row>
        <row r="633">
          <cell r="A633" t="str">
            <v>RHNM-SHNGAHP</v>
          </cell>
          <cell r="B633" t="str">
            <v>VAR_ncap</v>
          </cell>
          <cell r="C633" t="str">
            <v>-</v>
          </cell>
          <cell r="H633">
            <v>2.6374120540954601E-2</v>
          </cell>
          <cell r="I633">
            <v>4.6027645207854601E-2</v>
          </cell>
          <cell r="J633">
            <v>9.1114764256383499E-2</v>
          </cell>
        </row>
        <row r="634">
          <cell r="A634" t="str">
            <v>RHNM-SHNGAHP</v>
          </cell>
          <cell r="B634" t="str">
            <v>VAR_cap</v>
          </cell>
          <cell r="C634" t="str">
            <v>-</v>
          </cell>
          <cell r="H634">
            <v>7.9361945063172706E-2</v>
          </cell>
          <cell r="I634">
            <v>9.9527545694004058E-2</v>
          </cell>
          <cell r="J634">
            <v>0.13567465552777463</v>
          </cell>
        </row>
        <row r="635">
          <cell r="A635" t="str">
            <v>D-SCOM_KEV_WOD_ELC_CHP</v>
          </cell>
          <cell r="B635" t="str">
            <v>VAR_fout</v>
          </cell>
          <cell r="C635" t="str">
            <v>ELC5</v>
          </cell>
          <cell r="H635">
            <v>8.3050887141564677E-5</v>
          </cell>
          <cell r="I635">
            <v>5.0069982522452108E-5</v>
          </cell>
          <cell r="J635">
            <v>3.4162876986677915E-5</v>
          </cell>
        </row>
        <row r="636">
          <cell r="A636" t="str">
            <v>D-SCOM_KEV_WOD_ELC_CHP</v>
          </cell>
          <cell r="B636" t="str">
            <v>VAR_fout</v>
          </cell>
          <cell r="C636" t="str">
            <v>SCOM_ELC</v>
          </cell>
          <cell r="H636">
            <v>1.5059722951542195E-4</v>
          </cell>
          <cell r="I636">
            <v>7.5192422990733187E-5</v>
          </cell>
          <cell r="J636">
            <v>5.6713229583423938E-5</v>
          </cell>
        </row>
        <row r="637">
          <cell r="A637" t="str">
            <v>D-SCOM_KEV_WOD_ELC_CHP</v>
          </cell>
          <cell r="B637" t="str">
            <v>VAR_fin</v>
          </cell>
          <cell r="C637" t="str">
            <v>SCOM_KEV_WOD_ELC_CHP</v>
          </cell>
          <cell r="H637">
            <v>2.3071583948724853E-4</v>
          </cell>
          <cell r="I637">
            <v>1.2132645780387389E-4</v>
          </cell>
          <cell r="J637">
            <v>8.804073504807749E-5</v>
          </cell>
        </row>
        <row r="638">
          <cell r="A638" t="str">
            <v>RHES-SHCONBR5</v>
          </cell>
          <cell r="B638" t="str">
            <v>VAR_fout</v>
          </cell>
          <cell r="C638" t="str">
            <v>RHES-SHCON</v>
          </cell>
          <cell r="H638">
            <v>1.667230869610569E-4</v>
          </cell>
          <cell r="I638">
            <v>1.683216119233729E-4</v>
          </cell>
          <cell r="J638">
            <v>9.8766582529038864E-5</v>
          </cell>
        </row>
        <row r="639">
          <cell r="A639" t="str">
            <v>RHES-SHCONBR5</v>
          </cell>
          <cell r="B639" t="str">
            <v>VAR_fin</v>
          </cell>
          <cell r="C639" t="str">
            <v>CON</v>
          </cell>
          <cell r="H639">
            <v>1.667230869610569E-4</v>
          </cell>
          <cell r="I639">
            <v>1.683216119233729E-4</v>
          </cell>
          <cell r="J639">
            <v>9.8766582529038864E-5</v>
          </cell>
        </row>
        <row r="640">
          <cell r="A640" t="str">
            <v>RHES-SHCONBR5</v>
          </cell>
          <cell r="B640" t="str">
            <v>VAR_ncap</v>
          </cell>
          <cell r="C640" t="str">
            <v>-</v>
          </cell>
        </row>
        <row r="641">
          <cell r="A641" t="str">
            <v>RHES-SHCONBR5</v>
          </cell>
          <cell r="B641" t="str">
            <v>VAR_cap</v>
          </cell>
          <cell r="C641" t="str">
            <v>-</v>
          </cell>
          <cell r="H641">
            <v>1.2718137948032399E-5</v>
          </cell>
          <cell r="I641">
            <v>1.2718137948032399E-5</v>
          </cell>
          <cell r="J641">
            <v>7.3523687108346801E-6</v>
          </cell>
        </row>
        <row r="642">
          <cell r="A642" t="str">
            <v>RHNS-SHCONBR</v>
          </cell>
          <cell r="B642" t="str">
            <v>VAR_fout</v>
          </cell>
          <cell r="C642" t="str">
            <v>RHNS-SHCON</v>
          </cell>
          <cell r="H642">
            <v>1.9258226475997518E-4</v>
          </cell>
          <cell r="I642">
            <v>4.0282326394351295E-3</v>
          </cell>
          <cell r="J642">
            <v>6.6603197117195354E-2</v>
          </cell>
        </row>
        <row r="643">
          <cell r="A643" t="str">
            <v>RHNS-SHCONBR</v>
          </cell>
          <cell r="B643" t="str">
            <v>VAR_fin</v>
          </cell>
          <cell r="C643" t="str">
            <v>CON</v>
          </cell>
          <cell r="H643">
            <v>1.9258226475997518E-4</v>
          </cell>
          <cell r="I643">
            <v>4.0282326394351295E-3</v>
          </cell>
          <cell r="J643">
            <v>6.6603197117195354E-2</v>
          </cell>
        </row>
        <row r="644">
          <cell r="A644" t="str">
            <v>RHNS-SHCONBR</v>
          </cell>
          <cell r="B644" t="str">
            <v>VAR_ncap</v>
          </cell>
          <cell r="C644" t="str">
            <v>-</v>
          </cell>
          <cell r="H644">
            <v>1.4325437481618099E-8</v>
          </cell>
          <cell r="I644">
            <v>2.7936686110419101E-4</v>
          </cell>
          <cell r="J644">
            <v>4.5541764122254197E-3</v>
          </cell>
        </row>
        <row r="645">
          <cell r="A645" t="str">
            <v>RHNS-SHCONBR</v>
          </cell>
          <cell r="B645" t="str">
            <v>VAR_cap</v>
          </cell>
          <cell r="C645" t="str">
            <v>-</v>
          </cell>
          <cell r="H645">
            <v>1.27242752929531E-5</v>
          </cell>
          <cell r="I645">
            <v>2.9209113639714398E-4</v>
          </cell>
          <cell r="J645">
            <v>4.8462675486225697E-3</v>
          </cell>
        </row>
        <row r="646">
          <cell r="A646" t="str">
            <v>D-RHEM_SOLELC</v>
          </cell>
          <cell r="B646" t="str">
            <v>VAR_fout</v>
          </cell>
          <cell r="C646" t="str">
            <v>ELC5</v>
          </cell>
          <cell r="H646">
            <v>1.4895610306853971E-4</v>
          </cell>
          <cell r="I646">
            <v>1.1334810926372549E-4</v>
          </cell>
          <cell r="J646">
            <v>6.6888004976794409E-5</v>
          </cell>
        </row>
        <row r="647">
          <cell r="A647" t="str">
            <v>D-RHEM_SOLELC</v>
          </cell>
          <cell r="B647" t="str">
            <v>VAR_fout</v>
          </cell>
          <cell r="C647" t="str">
            <v>RHEM_ELC</v>
          </cell>
          <cell r="H647">
            <v>2.0384371366600402</v>
          </cell>
          <cell r="I647">
            <v>2.142484868562895</v>
          </cell>
          <cell r="J647">
            <v>2.3666812020858989</v>
          </cell>
        </row>
        <row r="648">
          <cell r="A648" t="str">
            <v>D-RHEM_SOLELC</v>
          </cell>
          <cell r="B648" t="str">
            <v>VAR_fin</v>
          </cell>
          <cell r="C648" t="str">
            <v>RHEM_SOL_ELC</v>
          </cell>
          <cell r="H648">
            <v>2.0385860927631074</v>
          </cell>
          <cell r="I648">
            <v>2.1425982166721571</v>
          </cell>
          <cell r="J648">
            <v>2.3667480900908786</v>
          </cell>
        </row>
        <row r="649">
          <cell r="A649" t="str">
            <v>ITOT-SWHCONBR7</v>
          </cell>
          <cell r="B649" t="str">
            <v>VAR_fout</v>
          </cell>
          <cell r="C649" t="str">
            <v>ITOT-ELS</v>
          </cell>
          <cell r="J649">
            <v>1.7564819095002592E-5</v>
          </cell>
        </row>
        <row r="650">
          <cell r="A650" t="str">
            <v>ITOT-SWHCONBR7</v>
          </cell>
          <cell r="B650" t="str">
            <v>VAR_fout</v>
          </cell>
          <cell r="C650" t="str">
            <v>ITOT-SWHC</v>
          </cell>
          <cell r="J650">
            <v>2.1254537135717743E-6</v>
          </cell>
        </row>
        <row r="651">
          <cell r="A651" t="str">
            <v>ITOT-SWHCONBR7</v>
          </cell>
          <cell r="B651" t="str">
            <v>VAR_fin</v>
          </cell>
          <cell r="C651" t="str">
            <v>CON</v>
          </cell>
          <cell r="J651">
            <v>2.0627730991327437E-5</v>
          </cell>
        </row>
        <row r="652">
          <cell r="A652" t="str">
            <v>ITOT-SWHCONBR7</v>
          </cell>
          <cell r="B652" t="str">
            <v>VAR_ncap</v>
          </cell>
          <cell r="C652" t="str">
            <v>-</v>
          </cell>
          <cell r="J652">
            <v>9.5323789490429901E-7</v>
          </cell>
        </row>
        <row r="653">
          <cell r="A653" t="str">
            <v>ITOT-SWHCONBR7</v>
          </cell>
          <cell r="B653" t="str">
            <v>VAR_cap</v>
          </cell>
          <cell r="C653" t="str">
            <v>-</v>
          </cell>
          <cell r="J653">
            <v>9.5323789490429901E-7</v>
          </cell>
        </row>
        <row r="654">
          <cell r="A654" t="str">
            <v>RHNS-SHSTG-ELCHP</v>
          </cell>
          <cell r="B654" t="str">
            <v>VAR_fout</v>
          </cell>
          <cell r="C654" t="str">
            <v>RHNS-SHAELCH</v>
          </cell>
          <cell r="H654">
            <v>0.27773674895958611</v>
          </cell>
          <cell r="I654">
            <v>0.34956304468704341</v>
          </cell>
          <cell r="J654">
            <v>0.3924132153302709</v>
          </cell>
        </row>
        <row r="655">
          <cell r="A655" t="str">
            <v>RHNS-SHSTG-ELCHP</v>
          </cell>
          <cell r="B655" t="str">
            <v>VAR_fout</v>
          </cell>
          <cell r="C655" t="str">
            <v>AUX_RHNS-SHSTG-ELCHP_OUT</v>
          </cell>
          <cell r="H655">
            <v>0.27801448570854581</v>
          </cell>
          <cell r="I655">
            <v>0.34991260773173039</v>
          </cell>
          <cell r="J655">
            <v>0.39280562854560086</v>
          </cell>
        </row>
        <row r="656">
          <cell r="A656" t="str">
            <v>RHNS-SHSTG-ELCHP</v>
          </cell>
          <cell r="B656" t="str">
            <v>VAR_fin</v>
          </cell>
          <cell r="C656" t="str">
            <v>RHNS-SHAELCH</v>
          </cell>
          <cell r="H656">
            <v>0.27773744909404752</v>
          </cell>
          <cell r="I656">
            <v>0.34956469190880712</v>
          </cell>
          <cell r="J656">
            <v>0.3924148937957172</v>
          </cell>
        </row>
        <row r="657">
          <cell r="A657" t="str">
            <v>RHNS-SHSTG-ELCHP</v>
          </cell>
          <cell r="B657" t="str">
            <v>VAR_ncap</v>
          </cell>
          <cell r="C657" t="str">
            <v>-</v>
          </cell>
          <cell r="H657">
            <v>6.8735739214366397E-3</v>
          </cell>
          <cell r="I657">
            <v>2.0958814627483099E-2</v>
          </cell>
          <cell r="J657">
            <v>2.8075935271161302E-2</v>
          </cell>
        </row>
        <row r="658">
          <cell r="A658" t="str">
            <v>RHNS-SHSTG-ELCHP</v>
          </cell>
          <cell r="B658" t="str">
            <v>VAR_cap</v>
          </cell>
          <cell r="C658" t="str">
            <v>-</v>
          </cell>
          <cell r="H658">
            <v>3.2682735411710948E-2</v>
          </cell>
          <cell r="I658">
            <v>3.8291500658242043E-2</v>
          </cell>
          <cell r="J658">
            <v>4.6188934868691807E-2</v>
          </cell>
        </row>
        <row r="659">
          <cell r="A659" t="str">
            <v>RHNS-SHSOLBR</v>
          </cell>
          <cell r="B659" t="str">
            <v>VAR_fout</v>
          </cell>
          <cell r="C659" t="str">
            <v>RHNS-SHASOL</v>
          </cell>
          <cell r="H659">
            <v>2.8593345477422516E-4</v>
          </cell>
          <cell r="I659">
            <v>3.6724752373129316E-4</v>
          </cell>
          <cell r="J659">
            <v>7.2081064793745012E-4</v>
          </cell>
        </row>
        <row r="660">
          <cell r="A660" t="str">
            <v>RHNS-SHSOLBR</v>
          </cell>
          <cell r="B660" t="str">
            <v>VAR_fin</v>
          </cell>
          <cell r="C660" t="str">
            <v>SOL</v>
          </cell>
          <cell r="H660">
            <v>2.8593345477422516E-4</v>
          </cell>
          <cell r="I660">
            <v>3.6724752373129316E-4</v>
          </cell>
          <cell r="J660">
            <v>7.2081064793745012E-4</v>
          </cell>
        </row>
        <row r="661">
          <cell r="A661" t="str">
            <v>RHNS-SHSOLBR</v>
          </cell>
          <cell r="B661" t="str">
            <v>VAR_ncap</v>
          </cell>
          <cell r="C661" t="str">
            <v>-</v>
          </cell>
          <cell r="H661">
            <v>8.6253025127160402E-6</v>
          </cell>
          <cell r="I661">
            <v>7.57455636767827E-5</v>
          </cell>
          <cell r="J661">
            <v>5.3826349814136597E-5</v>
          </cell>
        </row>
        <row r="662">
          <cell r="A662" t="str">
            <v>RHNS-SHSOLBR</v>
          </cell>
          <cell r="B662" t="str">
            <v>VAR_cap</v>
          </cell>
          <cell r="C662" t="str">
            <v>-</v>
          </cell>
          <cell r="H662">
            <v>1.1103137350789989E-4</v>
          </cell>
          <cell r="I662">
            <v>8.4484171977379345E-5</v>
          </cell>
          <cell r="J662">
            <v>1.1241770009898661E-4</v>
          </cell>
        </row>
        <row r="663">
          <cell r="A663" t="str">
            <v>RHES-SHPLTBR</v>
          </cell>
          <cell r="B663" t="str">
            <v>VAR_fout</v>
          </cell>
          <cell r="C663" t="str">
            <v>RHES-SHPLT</v>
          </cell>
          <cell r="H663">
            <v>7.7884058805903753E-2</v>
          </cell>
          <cell r="I663">
            <v>9.1108637672186382E-2</v>
          </cell>
          <cell r="J663">
            <v>0.11654039512888137</v>
          </cell>
        </row>
        <row r="664">
          <cell r="A664" t="str">
            <v>RHES-SHPLTBR</v>
          </cell>
          <cell r="B664" t="str">
            <v>VAR_fin</v>
          </cell>
          <cell r="C664" t="str">
            <v>RPLT</v>
          </cell>
          <cell r="H664">
            <v>0.10437429417784809</v>
          </cell>
          <cell r="I664">
            <v>0.1217702613961183</v>
          </cell>
          <cell r="J664">
            <v>0.15493868309568909</v>
          </cell>
        </row>
        <row r="665">
          <cell r="A665" t="str">
            <v>RHES-SHPLTBR</v>
          </cell>
          <cell r="B665" t="str">
            <v>VAR_ncap</v>
          </cell>
          <cell r="C665" t="str">
            <v>-</v>
          </cell>
          <cell r="H665">
            <v>3.2259816862561901E-3</v>
          </cell>
          <cell r="I665">
            <v>4.1366162505390601E-3</v>
          </cell>
          <cell r="J665">
            <v>5.0496571891077502E-3</v>
          </cell>
        </row>
        <row r="666">
          <cell r="A666" t="str">
            <v>RHES-SHPLTBR</v>
          </cell>
          <cell r="B666" t="str">
            <v>VAR_cap</v>
          </cell>
          <cell r="C666" t="str">
            <v>-</v>
          </cell>
          <cell r="H666">
            <v>6.2950194027426992E-3</v>
          </cell>
          <cell r="I666">
            <v>7.3626254032246067E-3</v>
          </cell>
          <cell r="J666">
            <v>9.4163037523896983E-3</v>
          </cell>
        </row>
        <row r="667">
          <cell r="A667" t="str">
            <v>RHES-SHCONBR6</v>
          </cell>
          <cell r="B667" t="str">
            <v>VAR_fout</v>
          </cell>
          <cell r="C667" t="str">
            <v>RHES-SHCON</v>
          </cell>
          <cell r="H667">
            <v>2.7633667608330564E-5</v>
          </cell>
          <cell r="I667">
            <v>2.7385799498611313E-5</v>
          </cell>
          <cell r="J667">
            <v>1.7683911048901101E-5</v>
          </cell>
        </row>
        <row r="668">
          <cell r="A668" t="str">
            <v>RHES-SHCONBR6</v>
          </cell>
          <cell r="B668" t="str">
            <v>VAR_fin</v>
          </cell>
          <cell r="C668" t="str">
            <v>CON</v>
          </cell>
          <cell r="H668">
            <v>2.7633667608330564E-5</v>
          </cell>
          <cell r="I668">
            <v>2.7385799498611313E-5</v>
          </cell>
          <cell r="J668">
            <v>1.7683911048901101E-5</v>
          </cell>
        </row>
        <row r="669">
          <cell r="A669" t="str">
            <v>RHES-SHCONBR6</v>
          </cell>
          <cell r="B669" t="str">
            <v>VAR_ncap</v>
          </cell>
          <cell r="C669" t="str">
            <v>-</v>
          </cell>
        </row>
        <row r="670">
          <cell r="A670" t="str">
            <v>RHES-SHCONBR6</v>
          </cell>
          <cell r="B670" t="str">
            <v>VAR_cap</v>
          </cell>
          <cell r="C670" t="str">
            <v>-</v>
          </cell>
          <cell r="H670">
            <v>1.1706416318320801E-6</v>
          </cell>
          <cell r="I670">
            <v>1.1706416318320801E-6</v>
          </cell>
          <cell r="J670">
            <v>6.7674913895820599E-7</v>
          </cell>
        </row>
        <row r="671">
          <cell r="A671" t="str">
            <v>RHSA-WHPLTBR</v>
          </cell>
          <cell r="B671" t="str">
            <v>VAR_fout</v>
          </cell>
          <cell r="C671" t="str">
            <v>RHSA-WHPLT</v>
          </cell>
          <cell r="H671">
            <v>0.18272333137926078</v>
          </cell>
          <cell r="I671">
            <v>0.22309666615554286</v>
          </cell>
          <cell r="J671">
            <v>0.3061601279043934</v>
          </cell>
        </row>
        <row r="672">
          <cell r="A672" t="str">
            <v>RHSA-WHPLTBR</v>
          </cell>
          <cell r="B672" t="str">
            <v>VAR_fin</v>
          </cell>
          <cell r="C672" t="str">
            <v>RPLT</v>
          </cell>
          <cell r="H672">
            <v>0.38913197509907616</v>
          </cell>
          <cell r="I672">
            <v>0.46953876577072701</v>
          </cell>
          <cell r="J672">
            <v>0.62894161675732752</v>
          </cell>
        </row>
        <row r="673">
          <cell r="A673" t="str">
            <v>RHSA-WHPLTBR</v>
          </cell>
          <cell r="B673" t="str">
            <v>VAR_ncap</v>
          </cell>
          <cell r="C673" t="str">
            <v>-</v>
          </cell>
          <cell r="H673">
            <v>8.7998319637270193E-3</v>
          </cell>
          <cell r="I673">
            <v>6.4498446593697998E-3</v>
          </cell>
          <cell r="J673">
            <v>1.2523387915548001E-2</v>
          </cell>
        </row>
        <row r="674">
          <cell r="A674" t="str">
            <v>RHSA-WHPLTBR</v>
          </cell>
          <cell r="B674" t="str">
            <v>VAR_cap</v>
          </cell>
          <cell r="C674" t="str">
            <v>-</v>
          </cell>
          <cell r="H674">
            <v>1.2490768511259657E-2</v>
          </cell>
          <cell r="I674">
            <v>1.5249713001509905E-2</v>
          </cell>
          <cell r="J674">
            <v>2.0926515201315578E-2</v>
          </cell>
        </row>
        <row r="675">
          <cell r="A675" t="str">
            <v>ITOT-SWHCONBR8</v>
          </cell>
          <cell r="B675" t="str">
            <v>VAR_fout</v>
          </cell>
          <cell r="C675" t="str">
            <v>ITOT-ELS</v>
          </cell>
          <cell r="J675">
            <v>2.1496927155500317E-6</v>
          </cell>
        </row>
        <row r="676">
          <cell r="A676" t="str">
            <v>ITOT-SWHCONBR8</v>
          </cell>
          <cell r="B676" t="str">
            <v>VAR_fout</v>
          </cell>
          <cell r="C676" t="str">
            <v>ITOT-SWHC</v>
          </cell>
          <cell r="J676">
            <v>1.2317795829143224E-5</v>
          </cell>
        </row>
        <row r="677">
          <cell r="A677" t="str">
            <v>ITOT-SWHCONBR8</v>
          </cell>
          <cell r="B677" t="str">
            <v>VAR_fin</v>
          </cell>
          <cell r="C677" t="str">
            <v>CON</v>
          </cell>
          <cell r="J677">
            <v>1.5508091007278453E-5</v>
          </cell>
        </row>
        <row r="678">
          <cell r="A678" t="str">
            <v>ITOT-SWHCONBR8</v>
          </cell>
          <cell r="B678" t="str">
            <v>VAR_ncap</v>
          </cell>
          <cell r="C678" t="str">
            <v>-</v>
          </cell>
          <cell r="J678">
            <v>4.7606295098134399E-7</v>
          </cell>
        </row>
        <row r="679">
          <cell r="A679" t="str">
            <v>ITOT-SWHCONBR8</v>
          </cell>
          <cell r="B679" t="str">
            <v>VAR_cap</v>
          </cell>
          <cell r="C679" t="str">
            <v>-</v>
          </cell>
          <cell r="J679">
            <v>4.7606295098134399E-7</v>
          </cell>
        </row>
        <row r="680">
          <cell r="A680" t="str">
            <v>SCOM-ELCSPECADV</v>
          </cell>
          <cell r="B680" t="str">
            <v>VAR_ncap</v>
          </cell>
          <cell r="C680" t="str">
            <v>-</v>
          </cell>
          <cell r="H680">
            <v>1.2955709932384901E-8</v>
          </cell>
        </row>
        <row r="681">
          <cell r="A681" t="str">
            <v>SCOM-ELCSPECADV</v>
          </cell>
          <cell r="B681" t="str">
            <v>VAR_cap</v>
          </cell>
          <cell r="C681" t="str">
            <v>-</v>
          </cell>
          <cell r="H681">
            <v>-6.0576771234481104E-8</v>
          </cell>
          <cell r="I681">
            <v>-1.0829623825625911E-7</v>
          </cell>
          <cell r="J681">
            <v>-6.1720880504154502E-8</v>
          </cell>
        </row>
        <row r="682">
          <cell r="A682" t="str">
            <v>RHSA-WHLTHRD</v>
          </cell>
          <cell r="B682" t="str">
            <v>VAR_fout</v>
          </cell>
          <cell r="C682" t="str">
            <v>RHSA-WHLTHRD</v>
          </cell>
          <cell r="H682">
            <v>1.3268369777538158</v>
          </cell>
          <cell r="I682">
            <v>1.446957930408596</v>
          </cell>
          <cell r="J682">
            <v>1.6804125779830159</v>
          </cell>
        </row>
        <row r="683">
          <cell r="A683" t="str">
            <v>RHSA-WHLTHRD</v>
          </cell>
          <cell r="B683" t="str">
            <v>VAR_fin</v>
          </cell>
          <cell r="C683" t="str">
            <v>RHSA_LTH</v>
          </cell>
          <cell r="H683">
            <v>2.3499032227246892</v>
          </cell>
          <cell r="I683">
            <v>2.5308154382356571</v>
          </cell>
          <cell r="J683">
            <v>2.8559802322071572</v>
          </cell>
        </row>
        <row r="684">
          <cell r="A684" t="str">
            <v>RHSA-WHLTHRD</v>
          </cell>
          <cell r="B684" t="str">
            <v>VAR_ncap</v>
          </cell>
          <cell r="C684" t="str">
            <v>-</v>
          </cell>
          <cell r="H684">
            <v>1.1079698631194601E-2</v>
          </cell>
          <cell r="I684">
            <v>1.5967868938281501E-2</v>
          </cell>
          <cell r="J684">
            <v>4.0582792334940498E-2</v>
          </cell>
        </row>
        <row r="685">
          <cell r="A685" t="str">
            <v>RHSA-WHLTHRD</v>
          </cell>
          <cell r="B685" t="str">
            <v>VAR_cap</v>
          </cell>
          <cell r="C685" t="str">
            <v>-</v>
          </cell>
          <cell r="H685">
            <v>0.1183026961482145</v>
          </cell>
          <cell r="I685">
            <v>0.12787615130942109</v>
          </cell>
          <cell r="J685">
            <v>0.16091315483141438</v>
          </cell>
        </row>
        <row r="686">
          <cell r="A686" t="str">
            <v>RHES-SHCONBR7</v>
          </cell>
          <cell r="B686" t="str">
            <v>VAR_fout</v>
          </cell>
          <cell r="C686" t="str">
            <v>RHES-SHCON</v>
          </cell>
          <cell r="H686">
            <v>2.5862016668081267E-5</v>
          </cell>
          <cell r="I686">
            <v>2.5635788155226855E-5</v>
          </cell>
          <cell r="J686">
            <v>1.6673660685268214E-5</v>
          </cell>
        </row>
        <row r="687">
          <cell r="A687" t="str">
            <v>RHES-SHCONBR7</v>
          </cell>
          <cell r="B687" t="str">
            <v>VAR_fin</v>
          </cell>
          <cell r="C687" t="str">
            <v>CON</v>
          </cell>
          <cell r="H687">
            <v>2.5862016668081267E-5</v>
          </cell>
          <cell r="I687">
            <v>2.5635788155226855E-5</v>
          </cell>
          <cell r="J687">
            <v>1.6673660685268214E-5</v>
          </cell>
        </row>
        <row r="688">
          <cell r="A688" t="str">
            <v>RHES-SHCONBR7</v>
          </cell>
          <cell r="B688" t="str">
            <v>VAR_ncap</v>
          </cell>
          <cell r="C688" t="str">
            <v>-</v>
          </cell>
        </row>
        <row r="689">
          <cell r="A689" t="str">
            <v>RHES-SHCONBR7</v>
          </cell>
          <cell r="B689" t="str">
            <v>VAR_cap</v>
          </cell>
          <cell r="C689" t="str">
            <v>-</v>
          </cell>
          <cell r="H689">
            <v>1.0306084184985699E-6</v>
          </cell>
          <cell r="I689">
            <v>1.0306084184985699E-6</v>
          </cell>
          <cell r="J689">
            <v>5.9579579339788405E-7</v>
          </cell>
        </row>
        <row r="690">
          <cell r="A690" t="str">
            <v>ITOT-SWHCONBR9</v>
          </cell>
          <cell r="B690" t="str">
            <v>VAR_fout</v>
          </cell>
          <cell r="C690" t="str">
            <v>ITOT-ELS</v>
          </cell>
          <cell r="J690">
            <v>8.6695400595838203E-7</v>
          </cell>
        </row>
        <row r="691">
          <cell r="A691" t="str">
            <v>ITOT-SWHCONBR9</v>
          </cell>
          <cell r="B691" t="str">
            <v>VAR_fout</v>
          </cell>
          <cell r="C691" t="str">
            <v>ITOT-SWHC</v>
          </cell>
          <cell r="J691">
            <v>1.1070311581868654E-5</v>
          </cell>
        </row>
        <row r="692">
          <cell r="A692" t="str">
            <v>ITOT-SWHCONBR9</v>
          </cell>
          <cell r="B692" t="str">
            <v>VAR_fin</v>
          </cell>
          <cell r="C692" t="str">
            <v>CON</v>
          </cell>
          <cell r="J692">
            <v>1.2977672531831101E-5</v>
          </cell>
        </row>
        <row r="693">
          <cell r="A693" t="str">
            <v>ITOT-SWHCONBR9</v>
          </cell>
          <cell r="B693" t="str">
            <v>VAR_ncap</v>
          </cell>
          <cell r="C693" t="str">
            <v>-</v>
          </cell>
          <cell r="J693">
            <v>3.3784112047692698E-7</v>
          </cell>
        </row>
        <row r="694">
          <cell r="A694" t="str">
            <v>ITOT-SWHCONBR9</v>
          </cell>
          <cell r="B694" t="str">
            <v>VAR_cap</v>
          </cell>
          <cell r="C694" t="str">
            <v>-</v>
          </cell>
          <cell r="J694">
            <v>3.3784112047692698E-7</v>
          </cell>
        </row>
        <row r="695">
          <cell r="A695" t="str">
            <v>SCOM-SHPLTBR</v>
          </cell>
          <cell r="B695" t="str">
            <v>VAR_fout</v>
          </cell>
          <cell r="C695" t="str">
            <v>SCOM-SHPLT</v>
          </cell>
          <cell r="H695">
            <v>0.86669638316514996</v>
          </cell>
          <cell r="I695">
            <v>1.0161973327684932</v>
          </cell>
          <cell r="J695">
            <v>1.2444735386213936</v>
          </cell>
        </row>
        <row r="696">
          <cell r="A696" t="str">
            <v>SCOM-SHPLTBR</v>
          </cell>
          <cell r="B696" t="str">
            <v>VAR_fin</v>
          </cell>
          <cell r="C696" t="str">
            <v>SCOMPLTBRC</v>
          </cell>
          <cell r="H696">
            <v>0.86669638316514996</v>
          </cell>
          <cell r="I696">
            <v>1.0161973327684932</v>
          </cell>
          <cell r="J696">
            <v>1.2444735386213936</v>
          </cell>
        </row>
        <row r="697">
          <cell r="A697" t="str">
            <v>SCOM-SHPLTBR</v>
          </cell>
          <cell r="B697" t="str">
            <v>VAR_fin</v>
          </cell>
          <cell r="C697" t="str">
            <v>SPLT</v>
          </cell>
          <cell r="H697">
            <v>1.2909842455945253</v>
          </cell>
          <cell r="I697">
            <v>1.5136728068811154</v>
          </cell>
          <cell r="J697">
            <v>1.8537007464508497</v>
          </cell>
        </row>
        <row r="698">
          <cell r="A698" t="str">
            <v>SCOM-SHPLTBR</v>
          </cell>
          <cell r="B698" t="str">
            <v>VAR_ncap</v>
          </cell>
          <cell r="C698" t="str">
            <v>-</v>
          </cell>
          <cell r="H698">
            <v>4.6670861553633203E-2</v>
          </cell>
          <cell r="I698">
            <v>3.8418040947277902E-2</v>
          </cell>
          <cell r="J698">
            <v>5.7128294623320398E-2</v>
          </cell>
        </row>
        <row r="699">
          <cell r="A699" t="str">
            <v>SCOM-SHPLTBR</v>
          </cell>
          <cell r="B699" t="str">
            <v>VAR_cap</v>
          </cell>
          <cell r="C699" t="str">
            <v>-</v>
          </cell>
          <cell r="H699">
            <v>7.1677526498620289E-2</v>
          </cell>
          <cell r="I699">
            <v>8.5088977170469898E-2</v>
          </cell>
          <cell r="J699">
            <v>0.10475102498397833</v>
          </cell>
        </row>
        <row r="700">
          <cell r="A700" t="str">
            <v>ITOT-SWHELCHP</v>
          </cell>
          <cell r="B700" t="str">
            <v>VAR_fout</v>
          </cell>
          <cell r="C700" t="str">
            <v>ITOT-SWHAELCH</v>
          </cell>
          <cell r="H700">
            <v>5.0659812312609258</v>
          </cell>
          <cell r="I700">
            <v>5.0821777442572378</v>
          </cell>
          <cell r="J700">
            <v>5.082178905178159</v>
          </cell>
        </row>
        <row r="701">
          <cell r="A701" t="str">
            <v>ITOT-SWHELCHP</v>
          </cell>
          <cell r="B701" t="str">
            <v>VAR_fin</v>
          </cell>
          <cell r="C701" t="str">
            <v>ITOT_ELC</v>
          </cell>
          <cell r="H701">
            <v>1.5515262323275294</v>
          </cell>
          <cell r="I701">
            <v>1.5277608803562952</v>
          </cell>
          <cell r="J701">
            <v>1.4733773650630702</v>
          </cell>
        </row>
        <row r="702">
          <cell r="A702" t="str">
            <v>ITOT-SWHELCHP</v>
          </cell>
          <cell r="B702" t="str">
            <v>VAR_fin</v>
          </cell>
          <cell r="C702" t="str">
            <v>ITOTELCHPC</v>
          </cell>
          <cell r="H702">
            <v>5.0659812312609258</v>
          </cell>
          <cell r="I702">
            <v>5.0821777442572378</v>
          </cell>
          <cell r="J702">
            <v>5.082178905178159</v>
          </cell>
        </row>
        <row r="703">
          <cell r="A703" t="str">
            <v>ITOT-SWHELCHP</v>
          </cell>
          <cell r="B703" t="str">
            <v>VAR_ncap</v>
          </cell>
          <cell r="C703" t="str">
            <v>-</v>
          </cell>
          <cell r="H703">
            <v>0.14417182825914901</v>
          </cell>
          <cell r="I703">
            <v>6.0298895172566098E-2</v>
          </cell>
          <cell r="J703">
            <v>0.171646774335174</v>
          </cell>
        </row>
        <row r="704">
          <cell r="A704" t="str">
            <v>ITOT-SWHELCHP</v>
          </cell>
          <cell r="B704" t="str">
            <v>VAR_cap</v>
          </cell>
          <cell r="C704" t="str">
            <v>-</v>
          </cell>
          <cell r="H704">
            <v>0.27551831717722752</v>
          </cell>
          <cell r="I704">
            <v>0.27792679009251242</v>
          </cell>
          <cell r="J704">
            <v>0.27639149213419123</v>
          </cell>
        </row>
        <row r="705">
          <cell r="A705" t="str">
            <v>RHES-SHCONBR8</v>
          </cell>
          <cell r="B705" t="str">
            <v>VAR_fout</v>
          </cell>
          <cell r="C705" t="str">
            <v>RHES-SHCON</v>
          </cell>
          <cell r="H705">
            <v>1.3156615327351213E-5</v>
          </cell>
          <cell r="I705">
            <v>1.2809005193203673E-5</v>
          </cell>
          <cell r="J705">
            <v>9.1332833954629741E-6</v>
          </cell>
        </row>
        <row r="706">
          <cell r="A706" t="str">
            <v>RHES-SHCONBR8</v>
          </cell>
          <cell r="B706" t="str">
            <v>VAR_fin</v>
          </cell>
          <cell r="C706" t="str">
            <v>CON</v>
          </cell>
          <cell r="H706">
            <v>1.3156615327351213E-5</v>
          </cell>
          <cell r="I706">
            <v>1.2809005193203673E-5</v>
          </cell>
          <cell r="J706">
            <v>9.1332833954629741E-6</v>
          </cell>
        </row>
        <row r="707">
          <cell r="A707" t="str">
            <v>RHEM-SHWODBR</v>
          </cell>
          <cell r="B707" t="str">
            <v>VAR_fout</v>
          </cell>
          <cell r="C707" t="str">
            <v>RHEM-SHWOD</v>
          </cell>
          <cell r="H707">
            <v>4.310715132462958</v>
          </cell>
          <cell r="I707">
            <v>3.9960400574511032</v>
          </cell>
          <cell r="J707">
            <v>3.3048771799948531</v>
          </cell>
        </row>
        <row r="708">
          <cell r="A708" t="str">
            <v>RHEM-SHWODBR</v>
          </cell>
          <cell r="B708" t="str">
            <v>VAR_fin</v>
          </cell>
          <cell r="C708" t="str">
            <v>RHEMWODBRC</v>
          </cell>
          <cell r="H708">
            <v>4.310715132462958</v>
          </cell>
          <cell r="I708">
            <v>3.9960400574511032</v>
          </cell>
          <cell r="J708">
            <v>3.3048771799948531</v>
          </cell>
        </row>
        <row r="709">
          <cell r="A709" t="str">
            <v>RHEM-SHWODBR</v>
          </cell>
          <cell r="B709" t="str">
            <v>VAR_fin</v>
          </cell>
          <cell r="C709" t="str">
            <v>RWOD</v>
          </cell>
          <cell r="H709">
            <v>5.8543925233793237</v>
          </cell>
          <cell r="I709">
            <v>5.4103574976010842</v>
          </cell>
          <cell r="J709">
            <v>4.4175553487203043</v>
          </cell>
        </row>
        <row r="710">
          <cell r="A710" t="str">
            <v>RHEM-SHWODBR</v>
          </cell>
          <cell r="B710" t="str">
            <v>VAR_ncap</v>
          </cell>
          <cell r="C710" t="str">
            <v>-</v>
          </cell>
          <cell r="H710">
            <v>0.21750733201729699</v>
          </cell>
          <cell r="I710">
            <v>6.4672638964120704E-2</v>
          </cell>
          <cell r="J710">
            <v>9.4433119638511698E-2</v>
          </cell>
        </row>
        <row r="711">
          <cell r="A711" t="str">
            <v>RHEM-SHWODBR</v>
          </cell>
          <cell r="B711" t="str">
            <v>VAR_cap</v>
          </cell>
          <cell r="C711" t="str">
            <v>-</v>
          </cell>
          <cell r="H711">
            <v>0.30440294478886981</v>
          </cell>
          <cell r="I711">
            <v>0.28217996555255864</v>
          </cell>
          <cell r="J711">
            <v>0.23337263037725839</v>
          </cell>
        </row>
        <row r="712">
          <cell r="A712" t="str">
            <v>RHES-SHCONBR9</v>
          </cell>
          <cell r="B712" t="str">
            <v>VAR_fout</v>
          </cell>
          <cell r="C712" t="str">
            <v>RHES-SHCON</v>
          </cell>
          <cell r="H712">
            <v>1.3117939299816733E-5</v>
          </cell>
          <cell r="I712">
            <v>1.27611809079935E-5</v>
          </cell>
          <cell r="J712">
            <v>9.0912873178527031E-6</v>
          </cell>
        </row>
        <row r="713">
          <cell r="A713" t="str">
            <v>RHES-SHCONBR9</v>
          </cell>
          <cell r="B713" t="str">
            <v>VAR_fin</v>
          </cell>
          <cell r="C713" t="str">
            <v>CON</v>
          </cell>
          <cell r="H713">
            <v>1.3117939299816733E-5</v>
          </cell>
          <cell r="I713">
            <v>1.27611809079935E-5</v>
          </cell>
          <cell r="J713">
            <v>9.0912873178527031E-6</v>
          </cell>
        </row>
        <row r="714">
          <cell r="A714" t="str">
            <v>D-RHNS_LTH_CHPNGA</v>
          </cell>
          <cell r="B714" t="str">
            <v>VAR_fout</v>
          </cell>
          <cell r="C714" t="str">
            <v>RHSA_LTH</v>
          </cell>
          <cell r="H714">
            <v>4.2453257040881814E-4</v>
          </cell>
          <cell r="I714">
            <v>1.4825659827918312E-4</v>
          </cell>
          <cell r="J714">
            <v>2.4898969435861414E-4</v>
          </cell>
        </row>
        <row r="715">
          <cell r="A715" t="str">
            <v>D-RHNS_LTH_CHPNGA</v>
          </cell>
          <cell r="B715" t="str">
            <v>VAR_fout</v>
          </cell>
          <cell r="C715" t="str">
            <v>LTH</v>
          </cell>
          <cell r="J715">
            <v>1.2225805590123951E-7</v>
          </cell>
        </row>
        <row r="716">
          <cell r="A716" t="str">
            <v>D-RHNS_LTH_CHPNGA</v>
          </cell>
          <cell r="B716" t="str">
            <v>VAR_fout</v>
          </cell>
          <cell r="C716" t="str">
            <v>RHNS_LTH_CHPNGA_ON</v>
          </cell>
          <cell r="H716">
            <v>2.8225396780697025E-4</v>
          </cell>
          <cell r="I716">
            <v>1.4242309134288375E-4</v>
          </cell>
          <cell r="J716">
            <v>6.7019168184444497E-5</v>
          </cell>
        </row>
        <row r="717">
          <cell r="A717" t="str">
            <v>D-RHNS_LTH_CHPNGA</v>
          </cell>
          <cell r="B717" t="str">
            <v>VAR_fin</v>
          </cell>
          <cell r="C717" t="str">
            <v>RHNS_LTH_CHPNGA</v>
          </cell>
          <cell r="H717">
            <v>7.0749159671320411E-4</v>
          </cell>
          <cell r="I717">
            <v>2.9109462608441065E-4</v>
          </cell>
          <cell r="J717">
            <v>3.1666338724058233E-4</v>
          </cell>
        </row>
        <row r="718">
          <cell r="A718" t="str">
            <v>D-SLFO</v>
          </cell>
          <cell r="B718" t="str">
            <v>VAR_fout</v>
          </cell>
          <cell r="C718" t="str">
            <v>CO2</v>
          </cell>
          <cell r="H718">
            <v>1139.1831497641899</v>
          </cell>
          <cell r="I718">
            <v>915.13020285499499</v>
          </cell>
          <cell r="J718">
            <v>390.40117163068498</v>
          </cell>
        </row>
        <row r="719">
          <cell r="A719" t="str">
            <v>D-SLFO</v>
          </cell>
          <cell r="B719" t="str">
            <v>VAR_fout</v>
          </cell>
          <cell r="C719" t="str">
            <v>SLFO</v>
          </cell>
          <cell r="H719">
            <v>15.198950967128347</v>
          </cell>
          <cell r="I719">
            <v>12.209611856429746</v>
          </cell>
          <cell r="J719">
            <v>5.2087156279817108</v>
          </cell>
        </row>
        <row r="720">
          <cell r="A720" t="str">
            <v>D-SLFO</v>
          </cell>
          <cell r="B720" t="str">
            <v>VAR_fin</v>
          </cell>
          <cell r="C720" t="str">
            <v>LFO</v>
          </cell>
          <cell r="H720">
            <v>15.457030525972675</v>
          </cell>
          <cell r="I720">
            <v>12.416963403731263</v>
          </cell>
          <cell r="J720">
            <v>5.2971665078790373</v>
          </cell>
        </row>
        <row r="721">
          <cell r="A721" t="str">
            <v>D-SLFO</v>
          </cell>
          <cell r="B721" t="str">
            <v>VAR_fin</v>
          </cell>
          <cell r="C721" t="str">
            <v>BDS</v>
          </cell>
          <cell r="H721">
            <v>7.2095912023587572E-5</v>
          </cell>
          <cell r="I721">
            <v>2.665742299766968E-5</v>
          </cell>
          <cell r="J721">
            <v>1.8219175504481322E-5</v>
          </cell>
        </row>
        <row r="722">
          <cell r="A722" t="str">
            <v>D-RCOA</v>
          </cell>
          <cell r="B722" t="str">
            <v>VAR_fout</v>
          </cell>
          <cell r="C722" t="str">
            <v>CO2</v>
          </cell>
          <cell r="H722">
            <v>2.1076302150538E-2</v>
          </cell>
        </row>
        <row r="723">
          <cell r="A723" t="str">
            <v>D-RCOA</v>
          </cell>
          <cell r="B723" t="str">
            <v>VAR_fout</v>
          </cell>
          <cell r="C723" t="str">
            <v>RCOA</v>
          </cell>
          <cell r="H723">
            <v>2.2736032524852179E-4</v>
          </cell>
        </row>
        <row r="724">
          <cell r="A724" t="str">
            <v>D-RCOA</v>
          </cell>
          <cell r="B724" t="str">
            <v>VAR_fin</v>
          </cell>
          <cell r="C724" t="str">
            <v>COA</v>
          </cell>
          <cell r="H724">
            <v>2.2736032524852179E-4</v>
          </cell>
        </row>
        <row r="725">
          <cell r="A725" t="str">
            <v>SCOM-ELCSPECDC</v>
          </cell>
          <cell r="B725" t="str">
            <v>VAR_fout</v>
          </cell>
          <cell r="C725" t="str">
            <v>SCOM-ELSDC</v>
          </cell>
          <cell r="H725">
            <v>14.899648223985468</v>
          </cell>
          <cell r="I725">
            <v>15.634211432487488</v>
          </cell>
          <cell r="J725">
            <v>16.899531980738132</v>
          </cell>
        </row>
        <row r="726">
          <cell r="A726" t="str">
            <v>SCOM-ELCSPECDC</v>
          </cell>
          <cell r="B726" t="str">
            <v>VAR_fin</v>
          </cell>
          <cell r="C726" t="str">
            <v>SCOM_ELC</v>
          </cell>
          <cell r="H726">
            <v>14.899648223985468</v>
          </cell>
          <cell r="I726">
            <v>15.634211432487488</v>
          </cell>
          <cell r="J726">
            <v>16.899531980738132</v>
          </cell>
        </row>
        <row r="727">
          <cell r="A727" t="str">
            <v>D-RHEM_KEV_WOD_ELC_CHP</v>
          </cell>
          <cell r="B727" t="str">
            <v>VAR_fout</v>
          </cell>
          <cell r="C727" t="str">
            <v>ELC5</v>
          </cell>
          <cell r="H727">
            <v>8.3907268899769159E-5</v>
          </cell>
          <cell r="I727">
            <v>4.6571095688779869E-5</v>
          </cell>
          <cell r="J727">
            <v>6.6897914135121393E-5</v>
          </cell>
        </row>
        <row r="728">
          <cell r="A728" t="str">
            <v>D-RHEM_KEV_WOD_ELC_CHP</v>
          </cell>
          <cell r="B728" t="str">
            <v>VAR_fout</v>
          </cell>
          <cell r="C728" t="str">
            <v>RHEM_ELC</v>
          </cell>
          <cell r="H728">
            <v>1.2888785161483714E-4</v>
          </cell>
          <cell r="I728">
            <v>6.1230160459446994E-5</v>
          </cell>
          <cell r="J728">
            <v>1.7257471741799702E-4</v>
          </cell>
        </row>
        <row r="729">
          <cell r="A729" t="str">
            <v>D-RHEM_KEV_WOD_ELC_CHP</v>
          </cell>
          <cell r="B729" t="str">
            <v>VAR_fin</v>
          </cell>
          <cell r="C729" t="str">
            <v>RHEM_KEV_WOD_ELC_CHP</v>
          </cell>
          <cell r="H729">
            <v>2.0977677079137954E-4</v>
          </cell>
          <cell r="I729">
            <v>1.053917527253454E-4</v>
          </cell>
          <cell r="J729">
            <v>2.3734942601201351E-4</v>
          </cell>
        </row>
        <row r="730">
          <cell r="A730" t="str">
            <v>RHES-SHSTG-SOL</v>
          </cell>
          <cell r="B730" t="str">
            <v>VAR_fout</v>
          </cell>
          <cell r="C730" t="str">
            <v>AUX_RHES-SHSTG-SOL_OUT</v>
          </cell>
          <cell r="H730">
            <v>1.0366842227646559E-2</v>
          </cell>
          <cell r="I730">
            <v>4.6306946491321581E-3</v>
          </cell>
          <cell r="J730">
            <v>4.3268197930529974E-3</v>
          </cell>
        </row>
        <row r="731">
          <cell r="A731" t="str">
            <v>RHES-SHSTG-SOL</v>
          </cell>
          <cell r="B731" t="str">
            <v>VAR_fout</v>
          </cell>
          <cell r="C731" t="str">
            <v>RHES-SHASOL</v>
          </cell>
          <cell r="H731">
            <v>1.035648574190467E-2</v>
          </cell>
          <cell r="I731">
            <v>4.6260685805516108E-3</v>
          </cell>
          <cell r="J731">
            <v>4.3224972957572414E-3</v>
          </cell>
        </row>
        <row r="732">
          <cell r="A732" t="str">
            <v>RHES-SHSTG-SOL</v>
          </cell>
          <cell r="B732" t="str">
            <v>VAR_fin</v>
          </cell>
          <cell r="C732" t="str">
            <v>RHES-SHASOL</v>
          </cell>
          <cell r="H732">
            <v>1.035786678576703E-2</v>
          </cell>
          <cell r="I732">
            <v>4.6271786823410188E-3</v>
          </cell>
          <cell r="J732">
            <v>4.323880824464151E-3</v>
          </cell>
        </row>
        <row r="733">
          <cell r="A733" t="str">
            <v>RHES-SHSTG-SOL</v>
          </cell>
          <cell r="B733" t="str">
            <v>VAR_ncap</v>
          </cell>
          <cell r="C733" t="str">
            <v>-</v>
          </cell>
          <cell r="H733">
            <v>2.4691269605748199E-5</v>
          </cell>
          <cell r="I733">
            <v>6.5059936071992601E-4</v>
          </cell>
          <cell r="J733">
            <v>2.20081510359528E-4</v>
          </cell>
        </row>
        <row r="734">
          <cell r="A734" t="str">
            <v>RHES-SHSTG-SOL</v>
          </cell>
          <cell r="B734" t="str">
            <v>VAR_cap</v>
          </cell>
          <cell r="C734" t="str">
            <v>-</v>
          </cell>
          <cell r="H734">
            <v>3.25546319488147E-3</v>
          </cell>
          <cell r="I734">
            <v>6.75369217916596E-4</v>
          </cell>
          <cell r="J734">
            <v>7.0268755202420696E-4</v>
          </cell>
        </row>
        <row r="735">
          <cell r="A735" t="str">
            <v>D-ITOT_LTH</v>
          </cell>
          <cell r="B735" t="str">
            <v>VAR_fout</v>
          </cell>
          <cell r="C735" t="str">
            <v>ITOT_LTH_DH</v>
          </cell>
          <cell r="H735">
            <v>7.6289168097557241</v>
          </cell>
          <cell r="I735">
            <v>7.6289181852543591</v>
          </cell>
          <cell r="J735">
            <v>9.5600050299261028</v>
          </cell>
        </row>
        <row r="736">
          <cell r="A736" t="str">
            <v>D-ITOT_LTH</v>
          </cell>
          <cell r="B736" t="str">
            <v>VAR_fin</v>
          </cell>
          <cell r="C736" t="str">
            <v>LTH</v>
          </cell>
          <cell r="H736">
            <v>8.277272740045996</v>
          </cell>
          <cell r="I736">
            <v>8.2718486462923124</v>
          </cell>
          <cell r="J736">
            <v>10.352107495681693</v>
          </cell>
        </row>
        <row r="737">
          <cell r="A737" t="str">
            <v>D-ITOT_LTH</v>
          </cell>
          <cell r="B737" t="str">
            <v>VAR_ncap</v>
          </cell>
          <cell r="C737" t="str">
            <v>-</v>
          </cell>
          <cell r="I737">
            <v>1.30918765078439E-8</v>
          </cell>
          <cell r="J737">
            <v>2.3074650023083601E-8</v>
          </cell>
        </row>
        <row r="738">
          <cell r="A738" t="str">
            <v>D-ITOT_LTH</v>
          </cell>
          <cell r="B738" t="str">
            <v>VAR_cap</v>
          </cell>
          <cell r="C738" t="str">
            <v>-</v>
          </cell>
          <cell r="H738">
            <v>0.79547232425522396</v>
          </cell>
          <cell r="I738">
            <v>0.79547233734710099</v>
          </cell>
          <cell r="J738">
            <v>0.79547236042175096</v>
          </cell>
        </row>
        <row r="739">
          <cell r="A739" t="str">
            <v>D-IH2</v>
          </cell>
          <cell r="B739" t="str">
            <v>VAR_fout</v>
          </cell>
          <cell r="C739" t="str">
            <v>IH2</v>
          </cell>
          <cell r="H739">
            <v>3.1123676895774481E-4</v>
          </cell>
          <cell r="I739">
            <v>2.7440448683306329E-4</v>
          </cell>
          <cell r="J739">
            <v>3.0320953918044555E-2</v>
          </cell>
        </row>
        <row r="740">
          <cell r="A740" t="str">
            <v>D-IH2</v>
          </cell>
          <cell r="B740" t="str">
            <v>VAR_fin</v>
          </cell>
          <cell r="C740" t="str">
            <v>H2</v>
          </cell>
          <cell r="H740">
            <v>3.1360789142924339E-4</v>
          </cell>
          <cell r="I740">
            <v>2.7649500668773454E-4</v>
          </cell>
          <cell r="J740">
            <v>3.0551950710078803E-2</v>
          </cell>
        </row>
        <row r="741">
          <cell r="A741" t="str">
            <v>D-IH2</v>
          </cell>
          <cell r="B741" t="str">
            <v>VAR_ncap</v>
          </cell>
          <cell r="C741" t="str">
            <v>-</v>
          </cell>
          <cell r="H741">
            <v>1.5598755794744401E-5</v>
          </cell>
          <cell r="I741">
            <v>1.5476457004048701E-6</v>
          </cell>
          <cell r="J741">
            <v>4.6797608587911604E-3</v>
          </cell>
        </row>
        <row r="742">
          <cell r="A742" t="str">
            <v>D-IH2</v>
          </cell>
          <cell r="B742" t="str">
            <v>VAR_cap</v>
          </cell>
          <cell r="C742" t="str">
            <v>-</v>
          </cell>
          <cell r="H742">
            <v>4.4255100295519003E-5</v>
          </cell>
          <cell r="I742">
            <v>4.5802745995923902E-5</v>
          </cell>
          <cell r="J742">
            <v>4.7255636047870801E-3</v>
          </cell>
        </row>
        <row r="743">
          <cell r="A743" t="str">
            <v>D-RHNM_LTH_CHPWOD</v>
          </cell>
          <cell r="B743" t="str">
            <v>VAR_fout</v>
          </cell>
          <cell r="C743" t="str">
            <v>RHNM_LTH_CHPWOD_ON</v>
          </cell>
          <cell r="H743">
            <v>2.7430762493246174E-4</v>
          </cell>
        </row>
        <row r="744">
          <cell r="A744" t="str">
            <v>D-RHNM_LTH_CHPWOD</v>
          </cell>
          <cell r="B744" t="str">
            <v>VAR_fout</v>
          </cell>
          <cell r="C744" t="str">
            <v>RHSA_LTH</v>
          </cell>
          <cell r="H744">
            <v>1.3724191411847766E-4</v>
          </cell>
          <cell r="I744">
            <v>1.5711410964624678E-4</v>
          </cell>
          <cell r="J744">
            <v>5.420202418144961E-4</v>
          </cell>
        </row>
        <row r="745">
          <cell r="A745" t="str">
            <v>D-RHNM_LTH_CHPWOD</v>
          </cell>
          <cell r="B745" t="str">
            <v>VAR_fin</v>
          </cell>
          <cell r="C745" t="str">
            <v>RHNM_LTH_CHPWOD</v>
          </cell>
          <cell r="H745">
            <v>4.1197847168907568E-4</v>
          </cell>
          <cell r="I745">
            <v>1.5734848315803119E-4</v>
          </cell>
          <cell r="J745">
            <v>5.4310256357827926E-4</v>
          </cell>
        </row>
        <row r="746">
          <cell r="A746" t="str">
            <v>RHNS-SHWODBR</v>
          </cell>
          <cell r="B746" t="str">
            <v>VAR_fout</v>
          </cell>
          <cell r="C746" t="str">
            <v>RHNS-SHWOD</v>
          </cell>
          <cell r="H746">
            <v>0.10853397142894471</v>
          </cell>
          <cell r="I746">
            <v>0.12574356694758909</v>
          </cell>
          <cell r="J746">
            <v>0.14392595398825811</v>
          </cell>
        </row>
        <row r="747">
          <cell r="A747" t="str">
            <v>RHNS-SHWODBR</v>
          </cell>
          <cell r="B747" t="str">
            <v>VAR_fin</v>
          </cell>
          <cell r="C747" t="str">
            <v>RHNSWODBRC</v>
          </cell>
          <cell r="H747">
            <v>0.10853397142894471</v>
          </cell>
          <cell r="I747">
            <v>0.12574356694758909</v>
          </cell>
          <cell r="J747">
            <v>0.14392595398825811</v>
          </cell>
        </row>
        <row r="748">
          <cell r="A748" t="str">
            <v>RHNS-SHWODBR</v>
          </cell>
          <cell r="B748" t="str">
            <v>VAR_fin</v>
          </cell>
          <cell r="C748" t="str">
            <v>RWOD</v>
          </cell>
          <cell r="H748">
            <v>0.14525288332183348</v>
          </cell>
          <cell r="I748">
            <v>0.16800557508311248</v>
          </cell>
          <cell r="J748">
            <v>0.19223250061845965</v>
          </cell>
        </row>
        <row r="749">
          <cell r="A749" t="str">
            <v>RHNS-SHWODBR</v>
          </cell>
          <cell r="B749" t="str">
            <v>VAR_ncap</v>
          </cell>
          <cell r="C749" t="str">
            <v>-</v>
          </cell>
          <cell r="H749">
            <v>2.4788211663871199E-2</v>
          </cell>
        </row>
        <row r="750">
          <cell r="A750" t="str">
            <v>RHNS-SHWODBR</v>
          </cell>
          <cell r="B750" t="str">
            <v>VAR_cap</v>
          </cell>
          <cell r="C750" t="str">
            <v>-</v>
          </cell>
          <cell r="H750">
            <v>2.4804648082714778E-2</v>
          </cell>
          <cell r="I750">
            <v>2.4789322798632406E-2</v>
          </cell>
          <cell r="J750">
            <v>1.04852809501853E-2</v>
          </cell>
        </row>
        <row r="751">
          <cell r="A751" t="str">
            <v>D-RHNM_NKEV_GAS_ELC_CHP</v>
          </cell>
          <cell r="B751" t="str">
            <v>VAR_fout</v>
          </cell>
          <cell r="C751" t="str">
            <v>ELC5</v>
          </cell>
          <cell r="H751">
            <v>2.5312114998852277E-4</v>
          </cell>
          <cell r="I751">
            <v>1.9483338265064283E-4</v>
          </cell>
          <cell r="J751">
            <v>1.1381019945998612E-4</v>
          </cell>
        </row>
        <row r="752">
          <cell r="A752" t="str">
            <v>D-RHNM_NKEV_GAS_ELC_CHP</v>
          </cell>
          <cell r="B752" t="str">
            <v>VAR_fout</v>
          </cell>
          <cell r="C752" t="str">
            <v>RHNM_ELC</v>
          </cell>
          <cell r="H752">
            <v>0.604952681896616</v>
          </cell>
          <cell r="I752">
            <v>0.88880542516809213</v>
          </cell>
          <cell r="J752">
            <v>0.47424737040471027</v>
          </cell>
        </row>
        <row r="753">
          <cell r="A753" t="str">
            <v>D-RHNM_NKEV_GAS_ELC_CHP</v>
          </cell>
          <cell r="B753" t="str">
            <v>VAR_fin</v>
          </cell>
          <cell r="C753" t="str">
            <v>RHNM_NKEV_GAS_ELC_CHP</v>
          </cell>
          <cell r="H753">
            <v>0.60520580304660465</v>
          </cell>
          <cell r="I753">
            <v>0.88900025855074283</v>
          </cell>
          <cell r="J753">
            <v>0.47436118060416987</v>
          </cell>
        </row>
        <row r="754">
          <cell r="A754" t="str">
            <v>D-RLFO</v>
          </cell>
          <cell r="B754" t="str">
            <v>VAR_fout</v>
          </cell>
          <cell r="C754" t="str">
            <v>CO2</v>
          </cell>
          <cell r="H754">
            <v>1776.8315804434401</v>
          </cell>
          <cell r="I754">
            <v>1328.0398190306801</v>
          </cell>
          <cell r="J754">
            <v>443.679863187416</v>
          </cell>
        </row>
        <row r="755">
          <cell r="A755" t="str">
            <v>D-RLFO</v>
          </cell>
          <cell r="B755" t="str">
            <v>VAR_fout</v>
          </cell>
          <cell r="C755" t="str">
            <v>RLFO</v>
          </cell>
          <cell r="H755">
            <v>23.706399622778939</v>
          </cell>
          <cell r="I755">
            <v>17.718615302847336</v>
          </cell>
          <cell r="J755">
            <v>5.9195550430202317</v>
          </cell>
        </row>
        <row r="756">
          <cell r="A756" t="str">
            <v>D-RLFO</v>
          </cell>
          <cell r="B756" t="str">
            <v>VAR_fin</v>
          </cell>
          <cell r="C756" t="str">
            <v>LFO</v>
          </cell>
          <cell r="H756">
            <v>24.108976668160636</v>
          </cell>
          <cell r="I756">
            <v>18.019536214798968</v>
          </cell>
          <cell r="J756">
            <v>6.0200795547817698</v>
          </cell>
        </row>
        <row r="757">
          <cell r="A757" t="str">
            <v>D-RLFO</v>
          </cell>
          <cell r="B757" t="str">
            <v>VAR_fin</v>
          </cell>
          <cell r="C757" t="str">
            <v>BDS</v>
          </cell>
          <cell r="H757">
            <v>7.2150039884822257E-5</v>
          </cell>
          <cell r="I757">
            <v>2.6790147019171583E-5</v>
          </cell>
          <cell r="J757">
            <v>1.8269148802687759E-5</v>
          </cell>
        </row>
        <row r="758">
          <cell r="A758" t="str">
            <v>D-SCOM_LTH_CHPBIO</v>
          </cell>
          <cell r="B758" t="str">
            <v>VAR_fout</v>
          </cell>
          <cell r="C758" t="str">
            <v>SCOM_LTH_CHPBIO_ON</v>
          </cell>
        </row>
        <row r="759">
          <cell r="A759" t="str">
            <v>D-SCOM_LTH_CHPBIO</v>
          </cell>
          <cell r="B759" t="str">
            <v>VAR_fout</v>
          </cell>
          <cell r="C759" t="str">
            <v>LTH</v>
          </cell>
        </row>
        <row r="760">
          <cell r="A760" t="str">
            <v>D-SCOM_LTH_CHPBIO</v>
          </cell>
          <cell r="B760" t="str">
            <v>VAR_fin</v>
          </cell>
          <cell r="C760" t="str">
            <v>SCOM_LTH_CHPBIO</v>
          </cell>
        </row>
        <row r="761">
          <cell r="A761" t="str">
            <v>D-SCOM_NKEV_GAS_ELC_CHP</v>
          </cell>
          <cell r="B761" t="str">
            <v>VAR_fout</v>
          </cell>
          <cell r="C761" t="str">
            <v>ELC5</v>
          </cell>
          <cell r="H761">
            <v>1.9626656495704762E-4</v>
          </cell>
          <cell r="I761">
            <v>1.4973004415662862E-4</v>
          </cell>
          <cell r="J761">
            <v>7.5192851108306412E-5</v>
          </cell>
        </row>
        <row r="762">
          <cell r="A762" t="str">
            <v>D-SCOM_NKEV_GAS_ELC_CHP</v>
          </cell>
          <cell r="B762" t="str">
            <v>VAR_fout</v>
          </cell>
          <cell r="C762" t="str">
            <v>SCOM_ELC</v>
          </cell>
          <cell r="H762">
            <v>4.3022370828006427</v>
          </cell>
          <cell r="I762">
            <v>4.0449193723170787</v>
          </cell>
          <cell r="J762">
            <v>6.1995905934134857E-4</v>
          </cell>
        </row>
        <row r="763">
          <cell r="A763" t="str">
            <v>D-SCOM_NKEV_GAS_ELC_CHP</v>
          </cell>
          <cell r="B763" t="str">
            <v>VAR_fin</v>
          </cell>
          <cell r="C763" t="str">
            <v>SCOM_NKEV_GAS_ELC_CHP</v>
          </cell>
          <cell r="H763">
            <v>4.3024342093511931</v>
          </cell>
          <cell r="I763">
            <v>4.04506988071671</v>
          </cell>
          <cell r="J763">
            <v>6.9601573590406514E-4</v>
          </cell>
        </row>
        <row r="764">
          <cell r="A764" t="str">
            <v>RHEM-SHLTHDH</v>
          </cell>
          <cell r="B764" t="str">
            <v>VAR_fout</v>
          </cell>
          <cell r="C764" t="str">
            <v>RHEM-SHLTHD</v>
          </cell>
          <cell r="H764">
            <v>5.0391324838302056</v>
          </cell>
          <cell r="I764">
            <v>5.0868112622049129</v>
          </cell>
          <cell r="J764">
            <v>5.1868002792960857</v>
          </cell>
        </row>
        <row r="765">
          <cell r="A765" t="str">
            <v>RHEM-SHLTHDH</v>
          </cell>
          <cell r="B765" t="str">
            <v>VAR_fin</v>
          </cell>
          <cell r="C765" t="str">
            <v>RHEMLTHDHC</v>
          </cell>
          <cell r="H765">
            <v>5.0391324838302056</v>
          </cell>
          <cell r="I765">
            <v>5.0868112622049129</v>
          </cell>
          <cell r="J765">
            <v>5.1868002792960857</v>
          </cell>
        </row>
        <row r="766">
          <cell r="A766" t="str">
            <v>RHEM-SHLTHDH</v>
          </cell>
          <cell r="B766" t="str">
            <v>VAR_fin</v>
          </cell>
          <cell r="C766" t="str">
            <v>RHEM_LTH_DH</v>
          </cell>
          <cell r="H766">
            <v>5.5901872588490296</v>
          </cell>
          <cell r="I766">
            <v>5.6305463778301394</v>
          </cell>
          <cell r="J766">
            <v>5.6986072717559955</v>
          </cell>
        </row>
        <row r="767">
          <cell r="A767" t="str">
            <v>RHEM-SHLTHDH</v>
          </cell>
          <cell r="B767" t="str">
            <v>VAR_ncap</v>
          </cell>
          <cell r="C767" t="str">
            <v>-</v>
          </cell>
          <cell r="H767">
            <v>4.0686696529012301E-3</v>
          </cell>
          <cell r="I767">
            <v>9.6137875740705692E-3</v>
          </cell>
          <cell r="J767">
            <v>6.5691776176223099E-2</v>
          </cell>
        </row>
        <row r="768">
          <cell r="A768" t="str">
            <v>RHEM-SHLTHDH</v>
          </cell>
          <cell r="B768" t="str">
            <v>VAR_cap</v>
          </cell>
          <cell r="C768" t="str">
            <v>-</v>
          </cell>
          <cell r="H768">
            <v>0.38835144265146504</v>
          </cell>
          <cell r="I768">
            <v>0.39155659659859599</v>
          </cell>
          <cell r="J768">
            <v>0.45009556465212697</v>
          </cell>
        </row>
        <row r="769">
          <cell r="A769" t="str">
            <v>D-ITOT_SOLELC</v>
          </cell>
          <cell r="B769" t="str">
            <v>VAR_fout</v>
          </cell>
          <cell r="C769" t="str">
            <v>ITOT_ELC</v>
          </cell>
          <cell r="H769">
            <v>12.732149619689695</v>
          </cell>
          <cell r="I769">
            <v>13.352334185761228</v>
          </cell>
          <cell r="J769">
            <v>14.781896464122079</v>
          </cell>
        </row>
        <row r="770">
          <cell r="A770" t="str">
            <v>D-ITOT_SOLELC</v>
          </cell>
          <cell r="B770" t="str">
            <v>VAR_fout</v>
          </cell>
          <cell r="C770" t="str">
            <v>ELC5</v>
          </cell>
          <cell r="H770">
            <v>3.0946684083665171E-4</v>
          </cell>
          <cell r="I770">
            <v>2.9637106698756958E-2</v>
          </cell>
          <cell r="J770">
            <v>1.0296415054576495E-4</v>
          </cell>
        </row>
        <row r="771">
          <cell r="A771" t="str">
            <v>D-ITOT_SOLELC</v>
          </cell>
          <cell r="B771" t="str">
            <v>VAR_fin</v>
          </cell>
          <cell r="C771" t="str">
            <v>ITOT_SOL_ELC</v>
          </cell>
          <cell r="H771">
            <v>12.732459086530536</v>
          </cell>
          <cell r="I771">
            <v>13.381971292459987</v>
          </cell>
          <cell r="J771">
            <v>14.781999428272623</v>
          </cell>
        </row>
        <row r="772">
          <cell r="A772" t="str">
            <v>D-SWOD</v>
          </cell>
          <cell r="B772" t="str">
            <v>VAR_fout</v>
          </cell>
          <cell r="C772" t="str">
            <v>SWOD</v>
          </cell>
          <cell r="H772">
            <v>8.6242962080014305</v>
          </cell>
          <cell r="I772">
            <v>7.8973811821380391</v>
          </cell>
          <cell r="J772">
            <v>6.875825841315077</v>
          </cell>
        </row>
        <row r="773">
          <cell r="A773" t="str">
            <v>D-SWOD</v>
          </cell>
          <cell r="B773" t="str">
            <v>VAR_fin</v>
          </cell>
          <cell r="C773" t="str">
            <v>WOD</v>
          </cell>
          <cell r="H773">
            <v>8.6242962080014305</v>
          </cell>
          <cell r="I773">
            <v>7.8973811821380391</v>
          </cell>
          <cell r="J773">
            <v>6.875825841315077</v>
          </cell>
        </row>
        <row r="774">
          <cell r="A774" t="str">
            <v>SCOM-SHLTHCHPBIO</v>
          </cell>
          <cell r="B774" t="str">
            <v>VAR_fout</v>
          </cell>
          <cell r="C774" t="str">
            <v>SCOM-SHLTHC-BIO</v>
          </cell>
        </row>
        <row r="775">
          <cell r="A775" t="str">
            <v>SCOM-SHLTHCHPBIO</v>
          </cell>
          <cell r="B775" t="str">
            <v>VAR_fin</v>
          </cell>
          <cell r="C775" t="str">
            <v>SCOM_LTH_CHPBIO_ON</v>
          </cell>
        </row>
        <row r="776">
          <cell r="A776" t="str">
            <v>SCOM-SHLTHCHPBIO</v>
          </cell>
          <cell r="B776" t="str">
            <v>VAR_fin</v>
          </cell>
          <cell r="C776" t="str">
            <v>SCOMLTHCHPC</v>
          </cell>
        </row>
        <row r="777">
          <cell r="A777" t="str">
            <v>SCOM-SHLTHCHPBIO</v>
          </cell>
          <cell r="B777" t="str">
            <v>VAR_ncap</v>
          </cell>
          <cell r="C777" t="str">
            <v>-</v>
          </cell>
          <cell r="H777">
            <v>6.57107893189363E-2</v>
          </cell>
          <cell r="I777">
            <v>1.19996812972887E-2</v>
          </cell>
          <cell r="J777">
            <v>4.6215272011139903E-2</v>
          </cell>
        </row>
        <row r="778">
          <cell r="A778" t="str">
            <v>SCOM-SHLTHCHPBIO</v>
          </cell>
          <cell r="B778" t="str">
            <v>VAR_cap</v>
          </cell>
          <cell r="C778" t="str">
            <v>-</v>
          </cell>
          <cell r="H778">
            <v>8.9262699033280213E-2</v>
          </cell>
          <cell r="I778">
            <v>7.7078982613289757E-2</v>
          </cell>
          <cell r="J778">
            <v>7.7079049865306823E-2</v>
          </cell>
        </row>
        <row r="779">
          <cell r="A779" t="str">
            <v>RHES-SHNGABR</v>
          </cell>
          <cell r="B779" t="str">
            <v>VAR_fout</v>
          </cell>
          <cell r="C779" t="str">
            <v>CO2_R</v>
          </cell>
          <cell r="H779">
            <v>420.608618774212</v>
          </cell>
          <cell r="I779">
            <v>315.78943111210799</v>
          </cell>
          <cell r="J779">
            <v>144.90838981600899</v>
          </cell>
        </row>
        <row r="780">
          <cell r="A780" t="str">
            <v>RHES-SHNGABR</v>
          </cell>
          <cell r="B780" t="str">
            <v>VAR_fout</v>
          </cell>
          <cell r="C780" t="str">
            <v>RHES-SHNGA</v>
          </cell>
          <cell r="H780">
            <v>6.9396924234163606</v>
          </cell>
          <cell r="I780">
            <v>5.2385549130424032</v>
          </cell>
          <cell r="J780">
            <v>2.4338995759337196</v>
          </cell>
        </row>
        <row r="781">
          <cell r="A781" t="str">
            <v>RHES-SHNGABR</v>
          </cell>
          <cell r="B781" t="str">
            <v>VAR_fin</v>
          </cell>
          <cell r="C781" t="str">
            <v>RNGA</v>
          </cell>
          <cell r="H781">
            <v>7.457599623656229</v>
          </cell>
          <cell r="I781">
            <v>5.5991033885125541</v>
          </cell>
          <cell r="J781">
            <v>2.56929769177321</v>
          </cell>
        </row>
        <row r="782">
          <cell r="A782" t="str">
            <v>RHES-SHNGABR</v>
          </cell>
          <cell r="B782" t="str">
            <v>VAR_ncap</v>
          </cell>
          <cell r="C782" t="str">
            <v>-</v>
          </cell>
          <cell r="H782">
            <v>0.140715359395956</v>
          </cell>
          <cell r="I782">
            <v>0.282498217972942</v>
          </cell>
          <cell r="J782">
            <v>1.5784377863582401E-8</v>
          </cell>
        </row>
        <row r="783">
          <cell r="A783" t="str">
            <v>RHES-SHNGABR</v>
          </cell>
          <cell r="B783" t="str">
            <v>VAR_cap</v>
          </cell>
          <cell r="C783" t="str">
            <v>-</v>
          </cell>
          <cell r="H783">
            <v>0.56065732398751078</v>
          </cell>
          <cell r="I783">
            <v>0.42321356342812744</v>
          </cell>
          <cell r="J783">
            <v>0.19955285787042429</v>
          </cell>
        </row>
        <row r="784">
          <cell r="A784" t="str">
            <v>RHSA-WHNGABR</v>
          </cell>
          <cell r="B784" t="str">
            <v>VAR_fout</v>
          </cell>
          <cell r="C784" t="str">
            <v>RHSA-WHNGA</v>
          </cell>
          <cell r="H784">
            <v>3.6415092476206614</v>
          </cell>
          <cell r="I784">
            <v>3.0410845233340886</v>
          </cell>
          <cell r="J784">
            <v>1.9312548590208527</v>
          </cell>
        </row>
        <row r="785">
          <cell r="A785" t="str">
            <v>RHSA-WHNGABR</v>
          </cell>
          <cell r="B785" t="str">
            <v>VAR_fout</v>
          </cell>
          <cell r="C785" t="str">
            <v>CO2_R</v>
          </cell>
          <cell r="H785">
            <v>364.37246956318899</v>
          </cell>
          <cell r="I785">
            <v>300.69366676397601</v>
          </cell>
          <cell r="J785">
            <v>185.24953790431101</v>
          </cell>
        </row>
        <row r="786">
          <cell r="A786" t="str">
            <v>RHSA-WHNGABR</v>
          </cell>
          <cell r="B786" t="str">
            <v>VAR_fin</v>
          </cell>
          <cell r="C786" t="str">
            <v>RNGA</v>
          </cell>
          <cell r="H786">
            <v>6.4605047794891677</v>
          </cell>
          <cell r="I786">
            <v>5.3314479922690774</v>
          </cell>
          <cell r="J786">
            <v>3.2845662748991242</v>
          </cell>
        </row>
        <row r="787">
          <cell r="A787" t="str">
            <v>RHSA-WHNGABR</v>
          </cell>
          <cell r="B787" t="str">
            <v>VAR_ncap</v>
          </cell>
          <cell r="C787" t="str">
            <v>-</v>
          </cell>
          <cell r="H787">
            <v>0.135803679115099</v>
          </cell>
          <cell r="I787">
            <v>7.3248703778721502E-2</v>
          </cell>
          <cell r="J787">
            <v>2.13987871238644E-2</v>
          </cell>
        </row>
        <row r="788">
          <cell r="A788" t="str">
            <v>RHSA-WHNGABR</v>
          </cell>
          <cell r="B788" t="str">
            <v>VAR_cap</v>
          </cell>
          <cell r="C788" t="str">
            <v>-</v>
          </cell>
          <cell r="H788">
            <v>0.24889942153611791</v>
          </cell>
          <cell r="I788">
            <v>0.2090522961050936</v>
          </cell>
          <cell r="J788">
            <v>0.13200200566853076</v>
          </cell>
        </row>
        <row r="789">
          <cell r="A789" t="str">
            <v>ITOT-SWHWSTBR</v>
          </cell>
          <cell r="B789" t="str">
            <v>VAR_fout</v>
          </cell>
          <cell r="C789" t="str">
            <v>ITOT-SWH</v>
          </cell>
          <cell r="H789">
            <v>5.6973956179610514</v>
          </cell>
          <cell r="I789">
            <v>5.6699888152903011</v>
          </cell>
          <cell r="J789">
            <v>5.7825786345012666</v>
          </cell>
        </row>
        <row r="790">
          <cell r="A790" t="str">
            <v>ITOT-SWHWSTBR</v>
          </cell>
          <cell r="B790" t="str">
            <v>VAR_fout</v>
          </cell>
          <cell r="C790" t="str">
            <v>CO2_I</v>
          </cell>
          <cell r="H790">
            <v>1001.36044194467</v>
          </cell>
          <cell r="I790">
            <v>996.54348874799302</v>
          </cell>
          <cell r="J790">
            <v>986.43988470903901</v>
          </cell>
        </row>
        <row r="791">
          <cell r="A791" t="str">
            <v>ITOT-SWHWSTBR</v>
          </cell>
          <cell r="B791" t="str">
            <v>VAR_fin</v>
          </cell>
          <cell r="C791" t="str">
            <v>IWST</v>
          </cell>
          <cell r="H791">
            <v>10.790522003714115</v>
          </cell>
          <cell r="I791">
            <v>10.738615180474074</v>
          </cell>
          <cell r="J791">
            <v>10.629740136950851</v>
          </cell>
        </row>
        <row r="792">
          <cell r="A792" t="str">
            <v>ITOT-SWHWSTBR</v>
          </cell>
          <cell r="B792" t="str">
            <v>VAR_ncap</v>
          </cell>
          <cell r="C792" t="str">
            <v>-</v>
          </cell>
          <cell r="H792">
            <v>0.221989483717866</v>
          </cell>
          <cell r="I792">
            <v>9.0933206093487901E-2</v>
          </cell>
          <cell r="J792">
            <v>0.204736442849068</v>
          </cell>
        </row>
        <row r="793">
          <cell r="A793" t="str">
            <v>ITOT-SWHWSTBR</v>
          </cell>
          <cell r="B793" t="str">
            <v>VAR_cap</v>
          </cell>
          <cell r="C793" t="str">
            <v>-</v>
          </cell>
          <cell r="H793">
            <v>0.31522891466565178</v>
          </cell>
          <cell r="I793">
            <v>0.31292142703265879</v>
          </cell>
          <cell r="J793">
            <v>0.36462873838191878</v>
          </cell>
        </row>
        <row r="794">
          <cell r="A794" t="str">
            <v>SCOM-SHSTG-ELC</v>
          </cell>
          <cell r="B794" t="str">
            <v>VAR_fout</v>
          </cell>
          <cell r="C794" t="str">
            <v>SCOM-SHAELCB</v>
          </cell>
          <cell r="H794">
            <v>5.0168414070950794E-6</v>
          </cell>
          <cell r="I794">
            <v>4.2366996722667537E-6</v>
          </cell>
        </row>
        <row r="795">
          <cell r="A795" t="str">
            <v>SCOM-SHSTG-ELC</v>
          </cell>
          <cell r="B795" t="str">
            <v>VAR_fin</v>
          </cell>
          <cell r="C795" t="str">
            <v>SCOM-SHAELCB</v>
          </cell>
          <cell r="H795">
            <v>6.0597635683583144E-6</v>
          </cell>
          <cell r="I795">
            <v>4.7111458870432942E-6</v>
          </cell>
        </row>
        <row r="796">
          <cell r="A796" t="str">
            <v>SCOM-SHSTG-ELC</v>
          </cell>
          <cell r="B796" t="str">
            <v>VAR_ncap</v>
          </cell>
          <cell r="C796" t="str">
            <v>-</v>
          </cell>
          <cell r="H796">
            <v>1.3441070289553901E-4</v>
          </cell>
          <cell r="I796">
            <v>5.3429820115034202E-3</v>
          </cell>
          <cell r="J796">
            <v>3.0974194331327599E-5</v>
          </cell>
        </row>
        <row r="797">
          <cell r="A797" t="str">
            <v>SCOM-SHSTG-ELC</v>
          </cell>
          <cell r="B797" t="str">
            <v>VAR_cap</v>
          </cell>
          <cell r="C797" t="str">
            <v>-</v>
          </cell>
          <cell r="H797">
            <v>5.7901330411839411E-3</v>
          </cell>
          <cell r="I797">
            <v>5.4746580091043712E-3</v>
          </cell>
          <cell r="J797">
            <v>3.651274957432441E-3</v>
          </cell>
        </row>
        <row r="798">
          <cell r="A798" t="str">
            <v>SCOM-SHNGABR</v>
          </cell>
          <cell r="B798" t="str">
            <v>VAR_fout</v>
          </cell>
          <cell r="C798" t="str">
            <v>CO2_S</v>
          </cell>
          <cell r="H798">
            <v>988.36929121285505</v>
          </cell>
          <cell r="I798">
            <v>795.20469919989</v>
          </cell>
          <cell r="J798">
            <v>465.81612106658599</v>
          </cell>
        </row>
        <row r="799">
          <cell r="A799" t="str">
            <v>SCOM-SHNGABR</v>
          </cell>
          <cell r="B799" t="str">
            <v>VAR_fout</v>
          </cell>
          <cell r="C799" t="str">
            <v>SCOM-SHNGA</v>
          </cell>
          <cell r="H799">
            <v>15.165487336225024</v>
          </cell>
          <cell r="I799">
            <v>12.201579817017411</v>
          </cell>
          <cell r="J799">
            <v>7.1474584933491236</v>
          </cell>
        </row>
        <row r="800">
          <cell r="A800" t="str">
            <v>SCOM-SHNGABR</v>
          </cell>
          <cell r="B800" t="str">
            <v>VAR_fin</v>
          </cell>
          <cell r="C800" t="str">
            <v>SNGA</v>
          </cell>
          <cell r="H800">
            <v>17.52427821299386</v>
          </cell>
          <cell r="I800">
            <v>14.099374099288836</v>
          </cell>
          <cell r="J800">
            <v>8.2591510827408801</v>
          </cell>
        </row>
        <row r="801">
          <cell r="A801" t="str">
            <v>SCOM-SHNGABR</v>
          </cell>
          <cell r="B801" t="str">
            <v>VAR_ncap</v>
          </cell>
          <cell r="C801" t="str">
            <v>-</v>
          </cell>
          <cell r="H801">
            <v>0.53096876356650102</v>
          </cell>
          <cell r="I801">
            <v>0.60969919793843996</v>
          </cell>
          <cell r="J801">
            <v>3.0347429457425201E-2</v>
          </cell>
        </row>
        <row r="802">
          <cell r="A802" t="str">
            <v>SCOM-SHNGABR</v>
          </cell>
          <cell r="B802" t="str">
            <v>VAR_cap</v>
          </cell>
          <cell r="C802" t="str">
            <v>-</v>
          </cell>
          <cell r="H802">
            <v>1.2505365194298237</v>
          </cell>
          <cell r="I802">
            <v>1.1406678186540735</v>
          </cell>
          <cell r="J802">
            <v>0.69742337344008098</v>
          </cell>
        </row>
        <row r="803">
          <cell r="A803" t="str">
            <v>RHEM-SHELCHP</v>
          </cell>
          <cell r="B803" t="str">
            <v>VAR_fout</v>
          </cell>
          <cell r="C803" t="str">
            <v>RHEM-SHAELCH</v>
          </cell>
          <cell r="H803">
            <v>15.510883364483588</v>
          </cell>
          <cell r="I803">
            <v>17.466700680155441</v>
          </cell>
          <cell r="J803">
            <v>21.579142217597752</v>
          </cell>
        </row>
        <row r="804">
          <cell r="A804" t="str">
            <v>RHEM-SHELCHP</v>
          </cell>
          <cell r="B804" t="str">
            <v>VAR_fin</v>
          </cell>
          <cell r="C804" t="str">
            <v>RHEMELCHPC</v>
          </cell>
          <cell r="H804">
            <v>15.510883364483588</v>
          </cell>
          <cell r="I804">
            <v>17.466700680155441</v>
          </cell>
          <cell r="J804">
            <v>21.579142217597752</v>
          </cell>
        </row>
        <row r="805">
          <cell r="A805" t="str">
            <v>RHEM-SHELCHP</v>
          </cell>
          <cell r="B805" t="str">
            <v>VAR_fin</v>
          </cell>
          <cell r="C805" t="str">
            <v>RHEM_ELC</v>
          </cell>
          <cell r="H805">
            <v>4.5169640770632258</v>
          </cell>
          <cell r="I805">
            <v>4.9092108701300843</v>
          </cell>
          <cell r="J805">
            <v>5.595142262181902</v>
          </cell>
        </row>
        <row r="806">
          <cell r="A806" t="str">
            <v>RHEM-SHELCHP</v>
          </cell>
          <cell r="B806" t="str">
            <v>VAR_ncap</v>
          </cell>
          <cell r="C806" t="str">
            <v>-</v>
          </cell>
          <cell r="H806">
            <v>0.73961625416862797</v>
          </cell>
          <cell r="I806">
            <v>0.418016975620221</v>
          </cell>
          <cell r="J806">
            <v>0.90755845217208397</v>
          </cell>
        </row>
        <row r="807">
          <cell r="A807" t="str">
            <v>RHEM-SHELCHP</v>
          </cell>
          <cell r="B807" t="str">
            <v>VAR_cap</v>
          </cell>
          <cell r="C807" t="str">
            <v>-</v>
          </cell>
          <cell r="H807">
            <v>1.0952824300160418</v>
          </cell>
          <cell r="I807">
            <v>1.2333880672675244</v>
          </cell>
          <cell r="J807">
            <v>1.5237810859145584</v>
          </cell>
        </row>
        <row r="808">
          <cell r="A808" t="str">
            <v>RHNM-SHSTG-ELC</v>
          </cell>
          <cell r="B808" t="str">
            <v>VAR_fout</v>
          </cell>
          <cell r="C808" t="str">
            <v>RHNM-SHAELCB</v>
          </cell>
          <cell r="H808">
            <v>8.3922490670190763E-4</v>
          </cell>
          <cell r="I808">
            <v>1.0411829606843215E-3</v>
          </cell>
          <cell r="J808">
            <v>7.3784660310509279E-4</v>
          </cell>
        </row>
        <row r="809">
          <cell r="A809" t="str">
            <v>RHNM-SHSTG-ELC</v>
          </cell>
          <cell r="B809" t="str">
            <v>VAR_fout</v>
          </cell>
          <cell r="C809" t="str">
            <v>AUX_RHNM-SHSTG-ELC_OUT</v>
          </cell>
          <cell r="H809">
            <v>8.4006413160860906E-4</v>
          </cell>
          <cell r="I809">
            <v>1.0422241436450061E-3</v>
          </cell>
          <cell r="J809">
            <v>7.3858444970819866E-4</v>
          </cell>
        </row>
        <row r="810">
          <cell r="A810" t="str">
            <v>RHNM-SHSTG-ELC</v>
          </cell>
          <cell r="B810" t="str">
            <v>VAR_fin</v>
          </cell>
          <cell r="C810" t="str">
            <v>RHNM-SHAELCB</v>
          </cell>
          <cell r="H810">
            <v>8.3867635187116806E-4</v>
          </cell>
          <cell r="I810">
            <v>1.0405667626954709E-3</v>
          </cell>
          <cell r="J810">
            <v>7.3788826129741114E-4</v>
          </cell>
        </row>
        <row r="811">
          <cell r="A811" t="str">
            <v>RHNM-SHSTG-ELC</v>
          </cell>
          <cell r="B811" t="str">
            <v>VAR_ncap</v>
          </cell>
          <cell r="C811" t="str">
            <v>-</v>
          </cell>
          <cell r="H811">
            <v>3.2414918742122901E-4</v>
          </cell>
          <cell r="I811">
            <v>9.4239503933585904E-6</v>
          </cell>
          <cell r="J811">
            <v>5.8953014301609799E-6</v>
          </cell>
        </row>
        <row r="812">
          <cell r="A812" t="str">
            <v>RHNM-SHSTG-ELC</v>
          </cell>
          <cell r="B812" t="str">
            <v>VAR_cap</v>
          </cell>
          <cell r="C812" t="str">
            <v>-</v>
          </cell>
          <cell r="H812">
            <v>7.2912811375744498E-4</v>
          </cell>
          <cell r="I812">
            <v>3.2834047565872659E-4</v>
          </cell>
          <cell r="J812">
            <v>1.3888642337091852E-4</v>
          </cell>
        </row>
        <row r="813">
          <cell r="A813" t="str">
            <v>D-RWOD</v>
          </cell>
          <cell r="B813" t="str">
            <v>VAR_fout</v>
          </cell>
          <cell r="C813" t="str">
            <v>RWOD</v>
          </cell>
          <cell r="H813">
            <v>13.995905833598995</v>
          </cell>
          <cell r="I813">
            <v>12.745830737301018</v>
          </cell>
          <cell r="J813">
            <v>10.110824060850018</v>
          </cell>
        </row>
        <row r="814">
          <cell r="A814" t="str">
            <v>D-RWOD</v>
          </cell>
          <cell r="B814" t="str">
            <v>VAR_fin</v>
          </cell>
          <cell r="C814" t="str">
            <v>WOD</v>
          </cell>
          <cell r="H814">
            <v>13.995905833598995</v>
          </cell>
          <cell r="I814">
            <v>12.745830737301018</v>
          </cell>
          <cell r="J814">
            <v>10.110824060850018</v>
          </cell>
        </row>
        <row r="815">
          <cell r="A815" t="str">
            <v>RHNS-SHLTHCHPWOD</v>
          </cell>
          <cell r="B815" t="str">
            <v>VAR_ncap</v>
          </cell>
          <cell r="C815" t="str">
            <v>-</v>
          </cell>
          <cell r="H815">
            <v>1.69154256408406E-5</v>
          </cell>
          <cell r="I815">
            <v>9.1626047825262607E-6</v>
          </cell>
          <cell r="J815">
            <v>1.30959088467447E-5</v>
          </cell>
        </row>
        <row r="816">
          <cell r="A816" t="str">
            <v>RHNS-SHLTHCHPWOD</v>
          </cell>
          <cell r="B816" t="str">
            <v>VAR_cap</v>
          </cell>
          <cell r="C816" t="str">
            <v>-</v>
          </cell>
          <cell r="H816">
            <v>2.312784698599795E-5</v>
          </cell>
          <cell r="I816">
            <v>1.7374543496153203E-5</v>
          </cell>
          <cell r="J816">
            <v>1.7302128715133317E-5</v>
          </cell>
        </row>
        <row r="817">
          <cell r="A817" t="str">
            <v>RHNM-SHELCBR</v>
          </cell>
          <cell r="B817" t="str">
            <v>VAR_fout</v>
          </cell>
          <cell r="C817" t="str">
            <v>RHNM-SHAELCB</v>
          </cell>
          <cell r="H817">
            <v>5.1230046262228622E-3</v>
          </cell>
          <cell r="I817">
            <v>5.9064274168191631E-3</v>
          </cell>
          <cell r="J817">
            <v>7.4758510058922653E-3</v>
          </cell>
        </row>
        <row r="818">
          <cell r="A818" t="str">
            <v>RHNM-SHELCBR</v>
          </cell>
          <cell r="B818" t="str">
            <v>VAR_fin</v>
          </cell>
          <cell r="C818" t="str">
            <v>RHNM_ELC</v>
          </cell>
          <cell r="H818">
            <v>5.3926364486556475E-3</v>
          </cell>
          <cell r="I818">
            <v>6.2172920177043789E-3</v>
          </cell>
          <cell r="J818">
            <v>7.8693168483076406E-3</v>
          </cell>
        </row>
        <row r="819">
          <cell r="A819" t="str">
            <v>RHNM-SHELCBR</v>
          </cell>
          <cell r="B819" t="str">
            <v>VAR_ncap</v>
          </cell>
          <cell r="C819" t="str">
            <v>-</v>
          </cell>
          <cell r="H819">
            <v>1.39371545342956E-3</v>
          </cell>
        </row>
        <row r="820">
          <cell r="A820" t="str">
            <v>RHNM-SHELCBR</v>
          </cell>
          <cell r="B820" t="str">
            <v>VAR_cap</v>
          </cell>
          <cell r="C820" t="str">
            <v>-</v>
          </cell>
          <cell r="H820">
            <v>3.1007318570416701E-3</v>
          </cell>
          <cell r="I820">
            <v>1.3936720437348867E-3</v>
          </cell>
          <cell r="J820">
            <v>5.8947430331638101E-4</v>
          </cell>
        </row>
        <row r="821">
          <cell r="A821" t="str">
            <v>RHNS-SHSTG-NGAHP</v>
          </cell>
          <cell r="B821" t="str">
            <v>VAR_fout</v>
          </cell>
          <cell r="C821" t="str">
            <v>RHNS-SHANGAH</v>
          </cell>
          <cell r="H821">
            <v>3.6696321451366941E-2</v>
          </cell>
          <cell r="I821">
            <v>4.5746925315829808E-2</v>
          </cell>
          <cell r="J821">
            <v>7.1476464828449424E-2</v>
          </cell>
        </row>
        <row r="822">
          <cell r="A822" t="str">
            <v>RHNS-SHSTG-NGAHP</v>
          </cell>
          <cell r="B822" t="str">
            <v>VAR_fout</v>
          </cell>
          <cell r="C822" t="str">
            <v>AUX_RHNS-SHSTG-NGAHP_OUT</v>
          </cell>
          <cell r="H822">
            <v>3.6733017772818281E-2</v>
          </cell>
          <cell r="I822">
            <v>4.5792672241145638E-2</v>
          </cell>
          <cell r="J822">
            <v>7.1547941293277878E-2</v>
          </cell>
        </row>
        <row r="823">
          <cell r="A823" t="str">
            <v>RHNS-SHSTG-NGAHP</v>
          </cell>
          <cell r="B823" t="str">
            <v>VAR_fin</v>
          </cell>
          <cell r="C823" t="str">
            <v>RHNS-SHANGAH</v>
          </cell>
          <cell r="H823">
            <v>3.6701354414753411E-2</v>
          </cell>
          <cell r="I823">
            <v>4.5752292250813245E-2</v>
          </cell>
          <cell r="J823">
            <v>7.1481764278930729E-2</v>
          </cell>
        </row>
        <row r="824">
          <cell r="A824" t="str">
            <v>RHNS-SHSTG-NGAHP</v>
          </cell>
          <cell r="B824" t="str">
            <v>VAR_ncap</v>
          </cell>
          <cell r="C824" t="str">
            <v>-</v>
          </cell>
          <cell r="H824">
            <v>3.0429435083120099E-3</v>
          </cell>
          <cell r="I824">
            <v>5.8146362435822201E-3</v>
          </cell>
          <cell r="J824">
            <v>1.1273852234256899E-2</v>
          </cell>
        </row>
        <row r="825">
          <cell r="A825" t="str">
            <v>RHNS-SHSTG-NGAHP</v>
          </cell>
          <cell r="B825" t="str">
            <v>VAR_cap</v>
          </cell>
          <cell r="C825" t="str">
            <v>-</v>
          </cell>
          <cell r="H825">
            <v>9.9623903317194416E-3</v>
          </cell>
          <cell r="I825">
            <v>1.2495976582395306E-2</v>
          </cell>
          <cell r="J825">
            <v>1.6775903181444403E-2</v>
          </cell>
        </row>
        <row r="826">
          <cell r="A826" t="str">
            <v>RHNS-SHLTHDH</v>
          </cell>
          <cell r="B826" t="str">
            <v>VAR_fout</v>
          </cell>
          <cell r="C826" t="str">
            <v>RHNS-SHLTHD</v>
          </cell>
          <cell r="H826">
            <v>8.5788040178164365E-3</v>
          </cell>
          <cell r="I826">
            <v>1.0366159126623777E-2</v>
          </cell>
          <cell r="J826">
            <v>1.2814836383594295E-2</v>
          </cell>
        </row>
        <row r="827">
          <cell r="A827" t="str">
            <v>RHNS-SHLTHDH</v>
          </cell>
          <cell r="B827" t="str">
            <v>VAR_fin</v>
          </cell>
          <cell r="C827" t="str">
            <v>RHNS_LTH_DH</v>
          </cell>
          <cell r="H827">
            <v>9.451408286941184E-3</v>
          </cell>
          <cell r="I827">
            <v>1.1403827214798453E-2</v>
          </cell>
          <cell r="J827">
            <v>1.4095196733192457E-2</v>
          </cell>
        </row>
        <row r="828">
          <cell r="A828" t="str">
            <v>RHNS-SHLTHDH</v>
          </cell>
          <cell r="B828" t="str">
            <v>VAR_fin</v>
          </cell>
          <cell r="C828" t="str">
            <v>RHNSLTHDHC</v>
          </cell>
          <cell r="H828">
            <v>8.5788040178164365E-3</v>
          </cell>
          <cell r="I828">
            <v>1.0366159126623777E-2</v>
          </cell>
          <cell r="J828">
            <v>1.2814836383594295E-2</v>
          </cell>
        </row>
        <row r="829">
          <cell r="A829" t="str">
            <v>RHNS-SHLTHDH</v>
          </cell>
          <cell r="B829" t="str">
            <v>VAR_ncap</v>
          </cell>
          <cell r="C829" t="str">
            <v>-</v>
          </cell>
          <cell r="H829">
            <v>2.90193997209388E-2</v>
          </cell>
          <cell r="I829">
            <v>5.5297376539980196E-3</v>
          </cell>
          <cell r="J829">
            <v>3.3091243319624498E-4</v>
          </cell>
        </row>
        <row r="830">
          <cell r="A830" t="str">
            <v>RHNS-SHLTHDH</v>
          </cell>
          <cell r="B830" t="str">
            <v>VAR_cap</v>
          </cell>
          <cell r="C830" t="str">
            <v>-</v>
          </cell>
          <cell r="H830">
            <v>3.2155052971637482E-2</v>
          </cell>
          <cell r="I830">
            <v>3.4981265750358037E-2</v>
          </cell>
          <cell r="J830">
            <v>1.8942566264927019E-3</v>
          </cell>
        </row>
        <row r="831">
          <cell r="A831" t="str">
            <v>ITOT-SWHNGAHP</v>
          </cell>
          <cell r="B831" t="str">
            <v>VAR_fout</v>
          </cell>
          <cell r="C831" t="str">
            <v>ITOT-SWHANGAH</v>
          </cell>
          <cell r="H831">
            <v>2.0792833924900247E-2</v>
          </cell>
          <cell r="I831">
            <v>4.6059693525224944E-3</v>
          </cell>
          <cell r="J831">
            <v>4.6056424960355001E-3</v>
          </cell>
        </row>
        <row r="832">
          <cell r="A832" t="str">
            <v>ITOT-SWHNGAHP</v>
          </cell>
          <cell r="B832" t="str">
            <v>VAR_fout</v>
          </cell>
          <cell r="C832" t="str">
            <v>CO2_I</v>
          </cell>
          <cell r="H832">
            <v>0.59860051306644602</v>
          </cell>
          <cell r="I832">
            <v>0.13015307488613601</v>
          </cell>
          <cell r="J832">
            <v>0.12551109592813101</v>
          </cell>
        </row>
        <row r="833">
          <cell r="A833" t="str">
            <v>ITOT-SWHNGAHP</v>
          </cell>
          <cell r="B833" t="str">
            <v>VAR_fin</v>
          </cell>
          <cell r="C833" t="str">
            <v>ITOTELCHPC</v>
          </cell>
          <cell r="H833">
            <v>2.0792833924900247E-2</v>
          </cell>
          <cell r="I833">
            <v>4.6059693525224944E-3</v>
          </cell>
          <cell r="J833">
            <v>4.6056424960355001E-3</v>
          </cell>
        </row>
        <row r="834">
          <cell r="A834" t="str">
            <v>ITOT-SWHNGAHP</v>
          </cell>
          <cell r="B834" t="str">
            <v>VAR_fin</v>
          </cell>
          <cell r="C834" t="str">
            <v>INGA</v>
          </cell>
          <cell r="H834">
            <v>1.0613484274227765E-2</v>
          </cell>
          <cell r="I834">
            <v>2.3076786327329078E-3</v>
          </cell>
          <cell r="J834">
            <v>2.2253740412789256E-3</v>
          </cell>
        </row>
        <row r="835">
          <cell r="A835" t="str">
            <v>ITOT-SWHNGAHP</v>
          </cell>
          <cell r="B835" t="str">
            <v>VAR_ncap</v>
          </cell>
          <cell r="C835" t="str">
            <v>-</v>
          </cell>
          <cell r="H835">
            <v>1.5671672190434901E-6</v>
          </cell>
          <cell r="I835">
            <v>2.4847848702775098E-4</v>
          </cell>
          <cell r="J835">
            <v>8.2378811891984405E-5</v>
          </cell>
        </row>
        <row r="836">
          <cell r="A836" t="str">
            <v>ITOT-SWHNGAHP</v>
          </cell>
          <cell r="B836" t="str">
            <v>VAR_cap</v>
          </cell>
          <cell r="C836" t="str">
            <v>-</v>
          </cell>
          <cell r="H836">
            <v>1.2494539422549609E-3</v>
          </cell>
          <cell r="I836">
            <v>2.7040548129350482E-4</v>
          </cell>
          <cell r="J836">
            <v>2.6323959956555239E-4</v>
          </cell>
        </row>
        <row r="837">
          <cell r="A837" t="str">
            <v>RHSA-WHLFOBR</v>
          </cell>
          <cell r="B837" t="str">
            <v>VAR_fout</v>
          </cell>
          <cell r="C837" t="str">
            <v>CO2_R</v>
          </cell>
          <cell r="H837">
            <v>302.70271718129698</v>
          </cell>
          <cell r="I837">
            <v>238.24082274329999</v>
          </cell>
          <cell r="J837">
            <v>106.61847220413701</v>
          </cell>
        </row>
        <row r="838">
          <cell r="A838" t="str">
            <v>RHSA-WHLFOBR</v>
          </cell>
          <cell r="B838" t="str">
            <v>VAR_fout</v>
          </cell>
          <cell r="C838" t="str">
            <v>RHSA-WHLFO</v>
          </cell>
          <cell r="H838">
            <v>2.2348954886737507</v>
          </cell>
          <cell r="I838">
            <v>1.7873427372802948</v>
          </cell>
          <cell r="J838">
            <v>0.82112363456757753</v>
          </cell>
        </row>
        <row r="839">
          <cell r="A839" t="str">
            <v>RHSA-WHLFOBR</v>
          </cell>
          <cell r="B839" t="str">
            <v>VAR_fin</v>
          </cell>
          <cell r="C839" t="str">
            <v>RLFO</v>
          </cell>
          <cell r="H839">
            <v>4.1072281842781058</v>
          </cell>
          <cell r="I839">
            <v>3.2325756138846664</v>
          </cell>
          <cell r="J839">
            <v>1.4466549824170496</v>
          </cell>
        </row>
        <row r="840">
          <cell r="A840" t="str">
            <v>RHSA-WHLFOBR</v>
          </cell>
          <cell r="B840" t="str">
            <v>VAR_ncap</v>
          </cell>
          <cell r="C840" t="str">
            <v>-</v>
          </cell>
          <cell r="H840">
            <v>3.63276810302018E-2</v>
          </cell>
          <cell r="I840">
            <v>8.5837286119549897E-2</v>
          </cell>
        </row>
        <row r="841">
          <cell r="A841" t="str">
            <v>RHSA-WHLFOBR</v>
          </cell>
          <cell r="B841" t="str">
            <v>VAR_cap</v>
          </cell>
          <cell r="C841" t="str">
            <v>-</v>
          </cell>
          <cell r="H841">
            <v>0.15391380114994549</v>
          </cell>
          <cell r="I841">
            <v>0.12216494554107822</v>
          </cell>
          <cell r="J841">
            <v>7.204490157554852E-2</v>
          </cell>
        </row>
        <row r="842">
          <cell r="A842" t="str">
            <v>D-IWST</v>
          </cell>
          <cell r="B842" t="str">
            <v>VAR_fout</v>
          </cell>
          <cell r="C842" t="str">
            <v>CO2</v>
          </cell>
          <cell r="H842">
            <v>1001.75484112187</v>
          </cell>
          <cell r="I842">
            <v>996.69827131535806</v>
          </cell>
          <cell r="J842">
            <v>986.58513914025502</v>
          </cell>
        </row>
        <row r="843">
          <cell r="A843" t="str">
            <v>D-IWST</v>
          </cell>
          <cell r="B843" t="str">
            <v>VAR_fout</v>
          </cell>
          <cell r="C843" t="str">
            <v>IWST</v>
          </cell>
          <cell r="H843">
            <v>10.794771994847695</v>
          </cell>
          <cell r="I843">
            <v>10.740283096070662</v>
          </cell>
          <cell r="J843">
            <v>10.631305378666537</v>
          </cell>
        </row>
        <row r="844">
          <cell r="A844" t="str">
            <v>D-IWST</v>
          </cell>
          <cell r="B844" t="str">
            <v>VAR_fin</v>
          </cell>
          <cell r="C844" t="str">
            <v>WSTNREN</v>
          </cell>
          <cell r="H844">
            <v>10.794771994847695</v>
          </cell>
          <cell r="I844">
            <v>10.740283096070662</v>
          </cell>
          <cell r="J844">
            <v>10.631305378666537</v>
          </cell>
        </row>
        <row r="845">
          <cell r="A845" t="str">
            <v>RHES-SHLFOBR</v>
          </cell>
          <cell r="B845" t="str">
            <v>VAR_fout</v>
          </cell>
          <cell r="C845" t="str">
            <v>CO2_R</v>
          </cell>
          <cell r="H845">
            <v>551.27816969511196</v>
          </cell>
          <cell r="I845">
            <v>386.81002765011698</v>
          </cell>
          <cell r="J845">
            <v>108.330652820193</v>
          </cell>
        </row>
        <row r="846">
          <cell r="A846" t="str">
            <v>RHES-SHLFOBR</v>
          </cell>
          <cell r="B846" t="str">
            <v>VAR_fout</v>
          </cell>
          <cell r="C846" t="str">
            <v>RHES-SHLFO</v>
          </cell>
          <cell r="H846">
            <v>6.5348430379909122</v>
          </cell>
          <cell r="I846">
            <v>4.6077546958150464</v>
          </cell>
          <cell r="J846">
            <v>1.2947515512225056</v>
          </cell>
        </row>
        <row r="847">
          <cell r="A847" t="str">
            <v>RHES-SHLFOBR</v>
          </cell>
          <cell r="B847" t="str">
            <v>VAR_fin</v>
          </cell>
          <cell r="C847" t="str">
            <v>RLFO</v>
          </cell>
          <cell r="H847">
            <v>7.4800294395537517</v>
          </cell>
          <cell r="I847">
            <v>5.2484399952526095</v>
          </cell>
          <cell r="J847">
            <v>1.4698867411152434</v>
          </cell>
        </row>
        <row r="848">
          <cell r="A848" t="str">
            <v>RHES-SHLFOBR</v>
          </cell>
          <cell r="B848" t="str">
            <v>VAR_ncap</v>
          </cell>
          <cell r="C848" t="str">
            <v>-</v>
          </cell>
          <cell r="H848">
            <v>8.4475008915611202E-2</v>
          </cell>
          <cell r="I848">
            <v>0.287776813802192</v>
          </cell>
          <cell r="J848">
            <v>1.05609138111994E-8</v>
          </cell>
        </row>
        <row r="849">
          <cell r="A849" t="str">
            <v>RHES-SHLFOBR</v>
          </cell>
          <cell r="B849" t="str">
            <v>VAR_cap</v>
          </cell>
          <cell r="C849" t="str">
            <v>-</v>
          </cell>
          <cell r="H849">
            <v>0.52794719233702136</v>
          </cell>
          <cell r="I849">
            <v>0.37225181890560372</v>
          </cell>
          <cell r="J849">
            <v>0.11014387887978799</v>
          </cell>
        </row>
        <row r="850">
          <cell r="A850" t="str">
            <v>ITOT-SWHSTG</v>
          </cell>
          <cell r="B850" t="str">
            <v>VAR_fout</v>
          </cell>
          <cell r="C850" t="str">
            <v>ITOT-SWH</v>
          </cell>
          <cell r="H850">
            <v>5.1233301107577931E-4</v>
          </cell>
          <cell r="I850">
            <v>3.7544957643186391E-4</v>
          </cell>
          <cell r="J850">
            <v>2.4106754534883525E-3</v>
          </cell>
        </row>
        <row r="851">
          <cell r="A851" t="str">
            <v>ITOT-SWHSTG</v>
          </cell>
          <cell r="B851" t="str">
            <v>VAR_fout</v>
          </cell>
          <cell r="C851" t="str">
            <v>AUX_ITOT-STG_OUT</v>
          </cell>
          <cell r="H851">
            <v>5.1176375217458448E-4</v>
          </cell>
          <cell r="I851">
            <v>3.7544957643186435E-4</v>
          </cell>
          <cell r="J851">
            <v>2.4106754534883525E-3</v>
          </cell>
        </row>
        <row r="852">
          <cell r="A852" t="str">
            <v>ITOT-SWHSTG</v>
          </cell>
          <cell r="B852" t="str">
            <v>VAR_fin</v>
          </cell>
          <cell r="C852" t="str">
            <v>AUX_ITOT-STG_IN</v>
          </cell>
          <cell r="H852">
            <v>5.6925890199063984E-4</v>
          </cell>
          <cell r="I852">
            <v>4.0370921987481842E-4</v>
          </cell>
          <cell r="J852">
            <v>2.4350257113032515E-3</v>
          </cell>
        </row>
        <row r="853">
          <cell r="A853" t="str">
            <v>ITOT-SWHSTG</v>
          </cell>
          <cell r="B853" t="str">
            <v>VAR_fin</v>
          </cell>
          <cell r="C853" t="str">
            <v>ITOT-SWH</v>
          </cell>
          <cell r="H853">
            <v>5.6925890199063984E-4</v>
          </cell>
          <cell r="I853">
            <v>4.0370921987481842E-4</v>
          </cell>
          <cell r="J853">
            <v>2.4350257113032515E-3</v>
          </cell>
        </row>
        <row r="854">
          <cell r="A854" t="str">
            <v>ITOT-SWHSTG</v>
          </cell>
          <cell r="B854" t="str">
            <v>VAR_ncap</v>
          </cell>
          <cell r="C854" t="str">
            <v>-</v>
          </cell>
          <cell r="H854">
            <v>1.43870976211715E-4</v>
          </cell>
          <cell r="I854">
            <v>1.7762474446882701E-5</v>
          </cell>
          <cell r="J854">
            <v>2.6036698874073099E-4</v>
          </cell>
        </row>
        <row r="855">
          <cell r="A855" t="str">
            <v>ITOT-SWHSTG</v>
          </cell>
          <cell r="B855" t="str">
            <v>VAR_cap</v>
          </cell>
          <cell r="C855" t="str">
            <v>-</v>
          </cell>
          <cell r="H855">
            <v>1.7868910811463627E-4</v>
          </cell>
          <cell r="I855">
            <v>1.6140327462959794E-4</v>
          </cell>
          <cell r="J855">
            <v>3.3354011590723851E-4</v>
          </cell>
        </row>
        <row r="856">
          <cell r="A856" t="str">
            <v>SCOM-SHLFOBR</v>
          </cell>
          <cell r="B856" t="str">
            <v>VAR_fout</v>
          </cell>
          <cell r="C856" t="str">
            <v>CO2_S</v>
          </cell>
          <cell r="H856">
            <v>1120.1626862773601</v>
          </cell>
          <cell r="I856">
            <v>899.84839381887195</v>
          </cell>
          <cell r="J856">
            <v>383.88234178225201</v>
          </cell>
        </row>
        <row r="857">
          <cell r="A857" t="str">
            <v>SCOM-SHLFOBR</v>
          </cell>
          <cell r="B857" t="str">
            <v>VAR_fout</v>
          </cell>
          <cell r="C857" t="str">
            <v>SCOM-SHLFO</v>
          </cell>
          <cell r="H857">
            <v>12.42457950936369</v>
          </cell>
          <cell r="I857">
            <v>9.9809054991209365</v>
          </cell>
          <cell r="J857">
            <v>4.2579321165973321</v>
          </cell>
        </row>
        <row r="858">
          <cell r="A858" t="str">
            <v>SCOM-SHLFOBR</v>
          </cell>
          <cell r="B858" t="str">
            <v>VAR_fin</v>
          </cell>
          <cell r="C858" t="str">
            <v>SLFO</v>
          </cell>
          <cell r="H858">
            <v>15.198950967128347</v>
          </cell>
          <cell r="I858">
            <v>12.209611856429746</v>
          </cell>
          <cell r="J858">
            <v>5.2087156279817108</v>
          </cell>
        </row>
        <row r="859">
          <cell r="A859" t="str">
            <v>SCOM-SHLFOBR</v>
          </cell>
          <cell r="B859" t="str">
            <v>VAR_ncap</v>
          </cell>
          <cell r="C859" t="str">
            <v>-</v>
          </cell>
          <cell r="H859">
            <v>0.460440356337951</v>
          </cell>
          <cell r="I859">
            <v>0.31428975136557002</v>
          </cell>
          <cell r="J859">
            <v>1.16406880528623E-7</v>
          </cell>
        </row>
        <row r="860">
          <cell r="A860" t="str">
            <v>SCOM-SHLFOBR</v>
          </cell>
          <cell r="B860" t="str">
            <v>VAR_cap</v>
          </cell>
          <cell r="C860" t="str">
            <v>-</v>
          </cell>
          <cell r="H860">
            <v>0.96057494406427801</v>
          </cell>
          <cell r="I860">
            <v>0.7747300495906928</v>
          </cell>
          <cell r="J860">
            <v>0.42285438746808668</v>
          </cell>
        </row>
        <row r="861">
          <cell r="A861" t="str">
            <v>RHNM-SHPLTBR</v>
          </cell>
          <cell r="B861" t="str">
            <v>VAR_fout</v>
          </cell>
          <cell r="C861" t="str">
            <v>RHNM-SHPLT</v>
          </cell>
          <cell r="H861">
            <v>5.2554091674290031E-2</v>
          </cell>
          <cell r="I861">
            <v>6.4710088951894604E-2</v>
          </cell>
          <cell r="J861">
            <v>9.3493582928027702E-2</v>
          </cell>
        </row>
        <row r="862">
          <cell r="A862" t="str">
            <v>RHNM-SHPLTBR</v>
          </cell>
          <cell r="B862" t="str">
            <v>VAR_fin</v>
          </cell>
          <cell r="C862" t="str">
            <v>RPLT</v>
          </cell>
          <cell r="H862">
            <v>7.0241211736884454E-2</v>
          </cell>
          <cell r="I862">
            <v>8.6302467797823218E-2</v>
          </cell>
          <cell r="J862">
            <v>0.12469040084224735</v>
          </cell>
        </row>
        <row r="863">
          <cell r="A863" t="str">
            <v>RHNM-SHPLTBR</v>
          </cell>
          <cell r="B863" t="str">
            <v>VAR_fin</v>
          </cell>
          <cell r="C863" t="str">
            <v>RHNMPLTBRC</v>
          </cell>
          <cell r="H863">
            <v>5.2554091674290031E-2</v>
          </cell>
          <cell r="I863">
            <v>6.4710088951894604E-2</v>
          </cell>
          <cell r="J863">
            <v>9.3493582928027702E-2</v>
          </cell>
        </row>
        <row r="864">
          <cell r="A864" t="str">
            <v>RHNM-SHPLTBR</v>
          </cell>
          <cell r="B864" t="str">
            <v>VAR_ncap</v>
          </cell>
          <cell r="C864" t="str">
            <v>-</v>
          </cell>
          <cell r="H864">
            <v>1.1414469263981101E-3</v>
          </cell>
          <cell r="I864">
            <v>3.8859650279245502E-3</v>
          </cell>
          <cell r="J864">
            <v>3.9566936644262196E-3</v>
          </cell>
        </row>
        <row r="865">
          <cell r="A865" t="str">
            <v>RHNM-SHPLTBR</v>
          </cell>
          <cell r="B865" t="str">
            <v>VAR_cap</v>
          </cell>
          <cell r="C865" t="str">
            <v>-</v>
          </cell>
          <cell r="H865">
            <v>4.0874869696128991E-3</v>
          </cell>
          <cell r="I865">
            <v>5.0278533058816938E-3</v>
          </cell>
          <cell r="J865">
            <v>7.2596691416754004E-3</v>
          </cell>
        </row>
        <row r="866">
          <cell r="A866" t="str">
            <v>D-RHES_NKEV_GAS_ELC_CHP</v>
          </cell>
          <cell r="B866" t="str">
            <v>VAR_fout</v>
          </cell>
          <cell r="C866" t="str">
            <v>RHES_ELC</v>
          </cell>
          <cell r="H866">
            <v>4.301820484575134E-3</v>
          </cell>
          <cell r="I866">
            <v>1.4073316574506121E-3</v>
          </cell>
          <cell r="J866">
            <v>1.668062310235058E-4</v>
          </cell>
        </row>
        <row r="867">
          <cell r="A867" t="str">
            <v>D-RHES_NKEV_GAS_ELC_CHP</v>
          </cell>
          <cell r="B867" t="str">
            <v>VAR_fout</v>
          </cell>
          <cell r="C867" t="str">
            <v>ELC5</v>
          </cell>
          <cell r="H867">
            <v>1.8129519317706586E-4</v>
          </cell>
          <cell r="I867">
            <v>1.3359960937585184E-4</v>
          </cell>
          <cell r="J867">
            <v>5.8169703947642716E-5</v>
          </cell>
        </row>
        <row r="868">
          <cell r="A868" t="str">
            <v>D-RHES_NKEV_GAS_ELC_CHP</v>
          </cell>
          <cell r="B868" t="str">
            <v>VAR_fin</v>
          </cell>
          <cell r="C868" t="str">
            <v>RHES_NKEV_GAS_ELC_CHP</v>
          </cell>
          <cell r="H868">
            <v>4.4831156777521992E-3</v>
          </cell>
          <cell r="I868">
            <v>1.5409312668264634E-3</v>
          </cell>
          <cell r="J868">
            <v>2.2497593497114866E-4</v>
          </cell>
        </row>
        <row r="869">
          <cell r="A869" t="str">
            <v>SCOM-SHSTG-SOL</v>
          </cell>
          <cell r="B869" t="str">
            <v>VAR_fout</v>
          </cell>
          <cell r="C869" t="str">
            <v>SCOM-SHASOL</v>
          </cell>
          <cell r="H869">
            <v>6.2919026893171712E-6</v>
          </cell>
          <cell r="I869">
            <v>5.7129481537982291E-6</v>
          </cell>
          <cell r="J869">
            <v>2.6985418359660482E-6</v>
          </cell>
        </row>
        <row r="870">
          <cell r="A870" t="str">
            <v>SCOM-SHSTG-SOL</v>
          </cell>
          <cell r="B870" t="str">
            <v>VAR_fin</v>
          </cell>
          <cell r="C870" t="str">
            <v>SCOM-SHASOL</v>
          </cell>
          <cell r="H870">
            <v>4.8021497572598529E-6</v>
          </cell>
          <cell r="I870">
            <v>2.8017910366626077E-6</v>
          </cell>
        </row>
        <row r="871">
          <cell r="A871" t="str">
            <v>SCOM-SHSTG-SOL</v>
          </cell>
          <cell r="B871" t="str">
            <v>VAR_ncap</v>
          </cell>
          <cell r="C871" t="str">
            <v>-</v>
          </cell>
          <cell r="H871">
            <v>1.17095568834788E-2</v>
          </cell>
          <cell r="I871">
            <v>1.3395230627271699E-2</v>
          </cell>
          <cell r="J871">
            <v>1.53091281027414E-2</v>
          </cell>
        </row>
        <row r="872">
          <cell r="A872" t="str">
            <v>SCOM-SHSTG-SOL</v>
          </cell>
          <cell r="B872" t="str">
            <v>VAR_cap</v>
          </cell>
          <cell r="C872" t="str">
            <v>-</v>
          </cell>
          <cell r="H872">
            <v>2.32775232484317E-2</v>
          </cell>
          <cell r="I872">
            <v>2.5104837894884401E-2</v>
          </cell>
          <cell r="J872">
            <v>2.9983575960312099E-2</v>
          </cell>
        </row>
        <row r="873">
          <cell r="A873" t="str">
            <v>RHNM-SHELCBRA</v>
          </cell>
          <cell r="B873" t="str">
            <v>VAR_fout</v>
          </cell>
          <cell r="C873" t="str">
            <v>RHNM-SHELCB</v>
          </cell>
          <cell r="H873">
            <v>5.1235426248378334E-3</v>
          </cell>
          <cell r="I873">
            <v>5.9070433415473458E-3</v>
          </cell>
          <cell r="J873">
            <v>7.4758093476999399E-3</v>
          </cell>
        </row>
        <row r="874">
          <cell r="A874" t="str">
            <v>RHNM-SHELCBRA</v>
          </cell>
          <cell r="B874" t="str">
            <v>VAR_fin</v>
          </cell>
          <cell r="C874" t="str">
            <v>RHNM-SHAELCB</v>
          </cell>
          <cell r="H874">
            <v>5.1235426248378334E-3</v>
          </cell>
          <cell r="I874">
            <v>5.9070433415473458E-3</v>
          </cell>
          <cell r="J874">
            <v>7.4758093476999399E-3</v>
          </cell>
        </row>
        <row r="875">
          <cell r="A875" t="str">
            <v>RHNM-SHELCBRA</v>
          </cell>
          <cell r="B875" t="str">
            <v>VAR_ncap</v>
          </cell>
          <cell r="C875" t="str">
            <v>-</v>
          </cell>
          <cell r="H875">
            <v>1.4011540055806899E-3</v>
          </cell>
        </row>
        <row r="876">
          <cell r="A876" t="str">
            <v>RHNM-SHELCBRA</v>
          </cell>
          <cell r="B876" t="str">
            <v>VAR_cap</v>
          </cell>
          <cell r="C876" t="str">
            <v>-</v>
          </cell>
          <cell r="H876">
            <v>3.10068664990537E-3</v>
          </cell>
          <cell r="I876">
            <v>1.3961852550126398E-3</v>
          </cell>
          <cell r="J876">
            <v>5.9055487231018792E-4</v>
          </cell>
        </row>
        <row r="877">
          <cell r="A877" t="str">
            <v>RHNM-SHSTG-SOL</v>
          </cell>
          <cell r="B877" t="str">
            <v>VAR_fout</v>
          </cell>
          <cell r="C877" t="str">
            <v>AUX_RHNM-SHSTG-SOL_OUT</v>
          </cell>
          <cell r="H877">
            <v>1.3099035888480241E-5</v>
          </cell>
          <cell r="I877">
            <v>1.4169464175416622E-5</v>
          </cell>
          <cell r="J877">
            <v>2.8867332833733091E-5</v>
          </cell>
        </row>
        <row r="878">
          <cell r="A878" t="str">
            <v>RHNM-SHSTG-SOL</v>
          </cell>
          <cell r="B878" t="str">
            <v>VAR_fout</v>
          </cell>
          <cell r="C878" t="str">
            <v>RHNM-SHASOL</v>
          </cell>
          <cell r="H878">
            <v>1.3085949938541701E-5</v>
          </cell>
          <cell r="I878">
            <v>1.4155308866550079E-5</v>
          </cell>
          <cell r="J878">
            <v>2.883849433939371E-5</v>
          </cell>
        </row>
        <row r="879">
          <cell r="A879" t="str">
            <v>RHNM-SHSTG-SOL</v>
          </cell>
          <cell r="B879" t="str">
            <v>VAR_fin</v>
          </cell>
          <cell r="C879" t="str">
            <v>RHNM-SHASOL</v>
          </cell>
          <cell r="H879">
            <v>1.4590708752287715E-5</v>
          </cell>
          <cell r="I879">
            <v>1.518540786003361E-5</v>
          </cell>
          <cell r="J879">
            <v>3.1095413265024584E-5</v>
          </cell>
        </row>
        <row r="880">
          <cell r="A880" t="str">
            <v>RHNM-SHSTG-SOL</v>
          </cell>
          <cell r="B880" t="str">
            <v>VAR_ncap</v>
          </cell>
          <cell r="C880" t="str">
            <v>-</v>
          </cell>
          <cell r="H880">
            <v>3.93059014966383E-8</v>
          </cell>
          <cell r="I880">
            <v>2.2432284156343E-6</v>
          </cell>
          <cell r="J880">
            <v>6.0819675407948497E-6</v>
          </cell>
        </row>
        <row r="881">
          <cell r="A881" t="str">
            <v>RHNM-SHSTG-SOL</v>
          </cell>
          <cell r="B881" t="str">
            <v>VAR_cap</v>
          </cell>
          <cell r="C881" t="str">
            <v>-</v>
          </cell>
          <cell r="H881">
            <v>2.64749872664859E-5</v>
          </cell>
          <cell r="I881">
            <v>6.4820210986043098E-6</v>
          </cell>
          <cell r="J881">
            <v>7.7265797898306193E-6</v>
          </cell>
        </row>
        <row r="882">
          <cell r="A882" t="str">
            <v>RHNS-SHELCHP</v>
          </cell>
          <cell r="B882" t="str">
            <v>VAR_fout</v>
          </cell>
          <cell r="C882" t="str">
            <v>RHNS-SHAELCH</v>
          </cell>
          <cell r="H882">
            <v>2.5389453802496611</v>
          </cell>
          <cell r="I882">
            <v>2.9772322658958483</v>
          </cell>
          <cell r="J882">
            <v>3.5897976056349501</v>
          </cell>
        </row>
        <row r="883">
          <cell r="A883" t="str">
            <v>RHNS-SHELCHP</v>
          </cell>
          <cell r="B883" t="str">
            <v>VAR_fin</v>
          </cell>
          <cell r="C883" t="str">
            <v>RHNS_ELC</v>
          </cell>
          <cell r="H883">
            <v>0.71007284977313567</v>
          </cell>
          <cell r="I883">
            <v>0.81761029379467021</v>
          </cell>
          <cell r="J883">
            <v>0.94487000806774812</v>
          </cell>
        </row>
        <row r="884">
          <cell r="A884" t="str">
            <v>RHNS-SHELCHP</v>
          </cell>
          <cell r="B884" t="str">
            <v>VAR_fin</v>
          </cell>
          <cell r="C884" t="str">
            <v>RHNSELCHPC</v>
          </cell>
          <cell r="H884">
            <v>2.5389453802496611</v>
          </cell>
          <cell r="I884">
            <v>2.9772322658958483</v>
          </cell>
          <cell r="J884">
            <v>3.5897976056349501</v>
          </cell>
        </row>
        <row r="885">
          <cell r="A885" t="str">
            <v>RHNS-SHELCHP</v>
          </cell>
          <cell r="B885" t="str">
            <v>VAR_ncap</v>
          </cell>
          <cell r="C885" t="str">
            <v>-</v>
          </cell>
          <cell r="H885">
            <v>4.3864465701566199E-2</v>
          </cell>
          <cell r="I885">
            <v>0.11561237123080199</v>
          </cell>
          <cell r="J885">
            <v>0.15927878882254901</v>
          </cell>
        </row>
        <row r="886">
          <cell r="A886" t="str">
            <v>RHNS-SHELCHP</v>
          </cell>
          <cell r="B886" t="str">
            <v>VAR_cap</v>
          </cell>
          <cell r="C886" t="str">
            <v>-</v>
          </cell>
          <cell r="H886">
            <v>0.18520706472946483</v>
          </cell>
          <cell r="I886">
            <v>0.21698490635257051</v>
          </cell>
          <cell r="J886">
            <v>0.26173698012515495</v>
          </cell>
        </row>
        <row r="887">
          <cell r="A887" t="str">
            <v>SCOM-SHBIOBR</v>
          </cell>
          <cell r="B887" t="str">
            <v>VAR_fout</v>
          </cell>
          <cell r="C887" t="str">
            <v>SCOM-SHBIO</v>
          </cell>
        </row>
        <row r="888">
          <cell r="A888" t="str">
            <v>SCOM-SHBIOBR</v>
          </cell>
          <cell r="B888" t="str">
            <v>VAR_fin</v>
          </cell>
          <cell r="C888" t="str">
            <v>SBIO</v>
          </cell>
        </row>
        <row r="889">
          <cell r="A889" t="str">
            <v>SCOM-SHBIOBR</v>
          </cell>
          <cell r="B889" t="str">
            <v>VAR_ncap</v>
          </cell>
          <cell r="C889" t="str">
            <v>-</v>
          </cell>
          <cell r="H889">
            <v>4.5383851422184703E-6</v>
          </cell>
          <cell r="I889">
            <v>6.0750228191682497E-6</v>
          </cell>
          <cell r="J889">
            <v>2.8673187212262202E-6</v>
          </cell>
        </row>
        <row r="890">
          <cell r="A890" t="str">
            <v>SCOM-SHBIOBR</v>
          </cell>
          <cell r="B890" t="str">
            <v>VAR_cap</v>
          </cell>
          <cell r="C890" t="str">
            <v>-</v>
          </cell>
          <cell r="H890">
            <v>2.7321682763962098E-2</v>
          </cell>
          <cell r="I890">
            <v>1.0398732295961028E-5</v>
          </cell>
          <cell r="J890">
            <v>9.0633984125950915E-6</v>
          </cell>
        </row>
        <row r="891">
          <cell r="A891" t="str">
            <v>RHES-SHDEM</v>
          </cell>
          <cell r="B891" t="str">
            <v>VAR_fout</v>
          </cell>
          <cell r="C891" t="str">
            <v>RHES-SHD</v>
          </cell>
          <cell r="H891">
            <v>54.717816295664001</v>
          </cell>
          <cell r="I891">
            <v>54.03614053513342</v>
          </cell>
          <cell r="J891">
            <v>53.23833675371732</v>
          </cell>
        </row>
        <row r="892">
          <cell r="A892" t="str">
            <v>RHES-SHDEM</v>
          </cell>
          <cell r="B892" t="str">
            <v>VAR_fin</v>
          </cell>
          <cell r="C892" t="str">
            <v>RHES-SHPLT</v>
          </cell>
          <cell r="H892">
            <v>7.7887321745399155E-2</v>
          </cell>
          <cell r="I892">
            <v>9.1110932896000765E-2</v>
          </cell>
          <cell r="J892">
            <v>0.11654254763800349</v>
          </cell>
        </row>
        <row r="893">
          <cell r="A893" t="str">
            <v>RHES-SHDEM</v>
          </cell>
          <cell r="B893" t="str">
            <v>VAR_fin</v>
          </cell>
          <cell r="C893" t="str">
            <v>RHES-SHLTHC-NGA</v>
          </cell>
        </row>
        <row r="894">
          <cell r="A894" t="str">
            <v>RHES-SHDEM</v>
          </cell>
          <cell r="B894" t="str">
            <v>VAR_fin</v>
          </cell>
          <cell r="C894" t="str">
            <v>RHES-SHSOL</v>
          </cell>
          <cell r="H894">
            <v>2.5727725966668575E-2</v>
          </cell>
          <cell r="I894">
            <v>2.6315542223852031E-2</v>
          </cell>
          <cell r="J894">
            <v>2.7394260483600434E-2</v>
          </cell>
        </row>
        <row r="895">
          <cell r="A895" t="str">
            <v>RHES-SHDEM</v>
          </cell>
          <cell r="B895" t="str">
            <v>VAR_fin</v>
          </cell>
          <cell r="C895" t="str">
            <v>RHES-SHLTHC-WOD</v>
          </cell>
        </row>
        <row r="896">
          <cell r="A896" t="str">
            <v>RHES-SHDEM</v>
          </cell>
          <cell r="B896" t="str">
            <v>VAR_fin</v>
          </cell>
          <cell r="C896" t="str">
            <v>RHES-SHNGA</v>
          </cell>
          <cell r="H896">
            <v>6.9396955324103713</v>
          </cell>
          <cell r="I896">
            <v>5.23855781160196</v>
          </cell>
          <cell r="J896">
            <v>2.4339025039393545</v>
          </cell>
        </row>
        <row r="897">
          <cell r="A897" t="str">
            <v>RHES-SHDEM</v>
          </cell>
          <cell r="B897" t="str">
            <v>VAR_fin</v>
          </cell>
          <cell r="C897" t="str">
            <v>RHES-SHNGAH</v>
          </cell>
          <cell r="H897">
            <v>5.2203287031043955</v>
          </cell>
          <cell r="I897">
            <v>6.0782033006035352</v>
          </cell>
          <cell r="J897">
            <v>7.6288689830215288</v>
          </cell>
        </row>
        <row r="898">
          <cell r="A898" t="str">
            <v>RHES-SHDEM</v>
          </cell>
          <cell r="B898" t="str">
            <v>VAR_fin</v>
          </cell>
          <cell r="C898" t="str">
            <v>RHES-SHCOA</v>
          </cell>
          <cell r="H898">
            <v>1.8612461494686724E-4</v>
          </cell>
        </row>
        <row r="899">
          <cell r="A899" t="str">
            <v>RHES-SHDEM</v>
          </cell>
          <cell r="B899" t="str">
            <v>VAR_fin</v>
          </cell>
          <cell r="C899" t="str">
            <v>RHES-SHLFO</v>
          </cell>
          <cell r="H899">
            <v>6.5348461133347735</v>
          </cell>
          <cell r="I899">
            <v>4.607757993117211</v>
          </cell>
          <cell r="J899">
            <v>1.2947544852556547</v>
          </cell>
        </row>
        <row r="900">
          <cell r="A900" t="str">
            <v>RHES-SHDEM</v>
          </cell>
          <cell r="B900" t="str">
            <v>VAR_fin</v>
          </cell>
          <cell r="C900" t="str">
            <v>RHES-SHCON</v>
          </cell>
          <cell r="H900">
            <v>5.8904133532357417</v>
          </cell>
          <cell r="I900">
            <v>7.6005421025335718</v>
          </cell>
          <cell r="J900">
            <v>10.81465380190124</v>
          </cell>
        </row>
        <row r="901">
          <cell r="A901" t="str">
            <v>RHES-SHDEM</v>
          </cell>
          <cell r="B901" t="str">
            <v>VAR_fin</v>
          </cell>
          <cell r="C901" t="str">
            <v>RHES-SHWOD</v>
          </cell>
          <cell r="H901">
            <v>3.7206973888963044</v>
          </cell>
          <cell r="I901">
            <v>3.1087221493751724</v>
          </cell>
          <cell r="J901">
            <v>1.9779550772996826</v>
          </cell>
        </row>
        <row r="902">
          <cell r="A902" t="str">
            <v>RHES-SHDEM</v>
          </cell>
          <cell r="B902" t="str">
            <v>VAR_fin</v>
          </cell>
          <cell r="C902" t="str">
            <v>RHES-SHLTHD</v>
          </cell>
          <cell r="H902">
            <v>1.6781829709791991</v>
          </cell>
          <cell r="I902">
            <v>1.7039564494148756</v>
          </cell>
          <cell r="J902">
            <v>1.7484786724570027</v>
          </cell>
        </row>
        <row r="903">
          <cell r="A903" t="str">
            <v>RHES-SHDEM</v>
          </cell>
          <cell r="B903" t="str">
            <v>VAR_fin</v>
          </cell>
          <cell r="C903" t="str">
            <v>RHES-SHELCB</v>
          </cell>
          <cell r="H903">
            <v>1.4321299265811797E-2</v>
          </cell>
          <cell r="I903">
            <v>4.0333253018361706E-3</v>
          </cell>
          <cell r="J903">
            <v>1.9900128483277433E-3</v>
          </cell>
        </row>
        <row r="904">
          <cell r="A904" t="str">
            <v>RHES-SHDEM</v>
          </cell>
          <cell r="B904" t="str">
            <v>VAR_fin</v>
          </cell>
          <cell r="C904" t="str">
            <v>RHES-SHELCH</v>
          </cell>
          <cell r="H904">
            <v>24.615685771001651</v>
          </cell>
          <cell r="I904">
            <v>25.577077779114187</v>
          </cell>
          <cell r="J904">
            <v>27.193909986073695</v>
          </cell>
        </row>
        <row r="905">
          <cell r="A905" t="str">
            <v>RHES-SHDEM</v>
          </cell>
          <cell r="B905" t="str">
            <v>VAR_fin</v>
          </cell>
          <cell r="C905" t="str">
            <v>RHES-SHNST</v>
          </cell>
        </row>
        <row r="906">
          <cell r="A906" t="str">
            <v>D-RHEM_LTH_CHPNGA</v>
          </cell>
          <cell r="B906" t="str">
            <v>VAR_fout</v>
          </cell>
          <cell r="C906" t="str">
            <v>RHSA_LTH</v>
          </cell>
          <cell r="H906">
            <v>0.48393448866090244</v>
          </cell>
          <cell r="I906">
            <v>0.54117208230944647</v>
          </cell>
          <cell r="J906">
            <v>0.92675269296923857</v>
          </cell>
        </row>
        <row r="907">
          <cell r="A907" t="str">
            <v>D-RHEM_LTH_CHPNGA</v>
          </cell>
          <cell r="B907" t="str">
            <v>VAR_fout</v>
          </cell>
          <cell r="C907" t="str">
            <v>RHEM_LTH_CHPNGA_ON</v>
          </cell>
          <cell r="H907">
            <v>0.55443788505338254</v>
          </cell>
          <cell r="I907">
            <v>0.6091109316920329</v>
          </cell>
        </row>
        <row r="908">
          <cell r="A908" t="str">
            <v>D-RHEM_LTH_CHPNGA</v>
          </cell>
          <cell r="B908" t="str">
            <v>VAR_fout</v>
          </cell>
          <cell r="C908" t="str">
            <v>LTH</v>
          </cell>
          <cell r="H908">
            <v>1.8035535668810936E-3</v>
          </cell>
          <cell r="I908">
            <v>2.6074436716252273E-3</v>
          </cell>
          <cell r="J908">
            <v>1.6316615586863966E-3</v>
          </cell>
        </row>
        <row r="909">
          <cell r="A909" t="str">
            <v>D-RHEM_LTH_CHPNGA</v>
          </cell>
          <cell r="B909" t="str">
            <v>VAR_fin</v>
          </cell>
          <cell r="C909" t="str">
            <v>RHEM_LTH_CHPNGA</v>
          </cell>
          <cell r="H909">
            <v>1.0401759272811655</v>
          </cell>
          <cell r="I909">
            <v>1.1528904576731054</v>
          </cell>
          <cell r="J909">
            <v>0.92838435452792545</v>
          </cell>
        </row>
        <row r="910">
          <cell r="A910" t="str">
            <v>RHEM-SHLTHCHPNGA</v>
          </cell>
          <cell r="B910" t="str">
            <v>VAR_fout</v>
          </cell>
          <cell r="C910" t="str">
            <v>RHEM-SHLTHC-NGA</v>
          </cell>
        </row>
        <row r="911">
          <cell r="A911" t="str">
            <v>RHEM-SHLTHCHPNGA</v>
          </cell>
          <cell r="B911" t="str">
            <v>VAR_fin</v>
          </cell>
          <cell r="C911" t="str">
            <v>RHEM_LTH_CHPNGA_ON</v>
          </cell>
        </row>
        <row r="912">
          <cell r="A912" t="str">
            <v>RHEM-SHLTHCHPNGA</v>
          </cell>
          <cell r="B912" t="str">
            <v>VAR_fin</v>
          </cell>
          <cell r="C912" t="str">
            <v>RHEMLTHCHPC</v>
          </cell>
        </row>
        <row r="913">
          <cell r="A913" t="str">
            <v>RHEM-SHLTHCHPNGA</v>
          </cell>
          <cell r="B913" t="str">
            <v>VAR_ncap</v>
          </cell>
          <cell r="C913" t="str">
            <v>-</v>
          </cell>
          <cell r="H913">
            <v>5.6498400121998502E-3</v>
          </cell>
          <cell r="I913">
            <v>3.5620680626024998E-3</v>
          </cell>
          <cell r="J913">
            <v>2.58791833207368E-3</v>
          </cell>
        </row>
        <row r="914">
          <cell r="A914" t="str">
            <v>RHEM-SHLTHCHPNGA</v>
          </cell>
          <cell r="B914" t="str">
            <v>VAR_cap</v>
          </cell>
          <cell r="C914" t="str">
            <v>-</v>
          </cell>
          <cell r="H914">
            <v>1.044589264004794E-2</v>
          </cell>
          <cell r="I914">
            <v>8.9645853071440192E-3</v>
          </cell>
          <cell r="J914">
            <v>4.8805096061418501E-3</v>
          </cell>
        </row>
        <row r="915">
          <cell r="A915" t="str">
            <v>D-RHES_SOLELC</v>
          </cell>
          <cell r="B915" t="str">
            <v>VAR_fout</v>
          </cell>
          <cell r="C915" t="str">
            <v>RHES_ELC</v>
          </cell>
          <cell r="H915">
            <v>4.6108705578950486</v>
          </cell>
          <cell r="I915">
            <v>4.8943130366103986</v>
          </cell>
          <cell r="J915">
            <v>5.514431432619987</v>
          </cell>
        </row>
        <row r="916">
          <cell r="A916" t="str">
            <v>D-RHES_SOLELC</v>
          </cell>
          <cell r="B916" t="str">
            <v>VAR_fout</v>
          </cell>
          <cell r="C916" t="str">
            <v>ELC5</v>
          </cell>
          <cell r="H916">
            <v>1.5197701627002536E-4</v>
          </cell>
          <cell r="I916">
            <v>1.1530989433580352E-4</v>
          </cell>
          <cell r="J916">
            <v>6.7725136196695272E-5</v>
          </cell>
        </row>
        <row r="917">
          <cell r="A917" t="str">
            <v>D-RHES_SOLELC</v>
          </cell>
          <cell r="B917" t="str">
            <v>VAR_fin</v>
          </cell>
          <cell r="C917" t="str">
            <v>RHES_SOL_ELC</v>
          </cell>
          <cell r="H917">
            <v>4.6110225349113128</v>
          </cell>
          <cell r="I917">
            <v>4.8944283465047311</v>
          </cell>
          <cell r="J917">
            <v>5.5144991577561857</v>
          </cell>
        </row>
        <row r="918">
          <cell r="A918" t="str">
            <v>D-DH2</v>
          </cell>
          <cell r="B918" t="str">
            <v>VAR_fout</v>
          </cell>
          <cell r="C918" t="str">
            <v>H2</v>
          </cell>
          <cell r="H918">
            <v>2.1588607591129606E-6</v>
          </cell>
          <cell r="I918">
            <v>1.8574874237365776E-4</v>
          </cell>
          <cell r="J918">
            <v>1.9578413231682783E-4</v>
          </cell>
        </row>
        <row r="919">
          <cell r="A919" t="str">
            <v>D-DH2</v>
          </cell>
          <cell r="B919" t="str">
            <v>VAR_fin</v>
          </cell>
          <cell r="C919" t="str">
            <v>H2_E</v>
          </cell>
          <cell r="H919">
            <v>2.1806674334474351E-6</v>
          </cell>
          <cell r="I919">
            <v>1.8762499229662397E-4</v>
          </cell>
          <cell r="J919">
            <v>1.9776174981497741E-4</v>
          </cell>
        </row>
        <row r="920">
          <cell r="A920" t="str">
            <v>D-DH2</v>
          </cell>
          <cell r="B920" t="str">
            <v>VAR_ncap</v>
          </cell>
          <cell r="C920" t="str">
            <v>-</v>
          </cell>
          <cell r="H920">
            <v>6.4919252989518699E-6</v>
          </cell>
          <cell r="I920">
            <v>3.04357155223654E-5</v>
          </cell>
          <cell r="J920">
            <v>8.7042901062835101E-7</v>
          </cell>
        </row>
        <row r="921">
          <cell r="A921" t="str">
            <v>D-DH2</v>
          </cell>
          <cell r="B921" t="str">
            <v>VAR_cap</v>
          </cell>
          <cell r="C921" t="str">
            <v>-</v>
          </cell>
          <cell r="H921">
            <v>1.19320833748911E-5</v>
          </cell>
          <cell r="I921">
            <v>4.2367798897256498E-5</v>
          </cell>
          <cell r="J921">
            <v>4.32382279078848E-5</v>
          </cell>
        </row>
        <row r="922">
          <cell r="A922" t="str">
            <v>ITOT-SWHHFOBR</v>
          </cell>
          <cell r="B922" t="str">
            <v>VAR_fout</v>
          </cell>
          <cell r="C922" t="str">
            <v>ITOT-SWH</v>
          </cell>
          <cell r="H922">
            <v>1.3394958113066232E-4</v>
          </cell>
          <cell r="I922">
            <v>6.3819419076212433E-5</v>
          </cell>
        </row>
        <row r="923">
          <cell r="A923" t="str">
            <v>ITOT-SWHHFOBR</v>
          </cell>
          <cell r="B923" t="str">
            <v>VAR_fout</v>
          </cell>
          <cell r="C923" t="str">
            <v>CO2_I</v>
          </cell>
          <cell r="H923">
            <v>1.47753499823598E-2</v>
          </cell>
          <cell r="I923">
            <v>6.9666422383389704E-3</v>
          </cell>
        </row>
        <row r="924">
          <cell r="A924" t="str">
            <v>ITOT-SWHHFOBR</v>
          </cell>
          <cell r="B924" t="str">
            <v>VAR_fin</v>
          </cell>
          <cell r="C924" t="str">
            <v>IHFO</v>
          </cell>
          <cell r="H924">
            <v>1.9188766210856832E-4</v>
          </cell>
          <cell r="I924">
            <v>9.0475873225181471E-5</v>
          </cell>
        </row>
        <row r="925">
          <cell r="A925" t="str">
            <v>ITOT-SWHHFOBR</v>
          </cell>
          <cell r="B925" t="str">
            <v>VAR_ncap</v>
          </cell>
          <cell r="C925" t="str">
            <v>-</v>
          </cell>
          <cell r="H925">
            <v>9.2146843392323294E-6</v>
          </cell>
          <cell r="I925">
            <v>1.07527120039936E-6</v>
          </cell>
          <cell r="J925">
            <v>5.1823705342416701E-7</v>
          </cell>
        </row>
        <row r="926">
          <cell r="A926" t="str">
            <v>ITOT-SWHHFOBR</v>
          </cell>
          <cell r="B926" t="str">
            <v>VAR_cap</v>
          </cell>
          <cell r="C926" t="str">
            <v>-</v>
          </cell>
          <cell r="H926">
            <v>1.2615191062693987E-5</v>
          </cell>
          <cell r="I926">
            <v>6.0709519430158402E-6</v>
          </cell>
          <cell r="J926">
            <v>-1.1486443613704302E-6</v>
          </cell>
        </row>
        <row r="927">
          <cell r="A927" t="str">
            <v>RHSA-WHSTG-ELCHP</v>
          </cell>
          <cell r="B927" t="str">
            <v>VAR_fout</v>
          </cell>
          <cell r="C927" t="str">
            <v>AUX_RHSA-WHSTG-ELCHP_OUT</v>
          </cell>
          <cell r="H927">
            <v>1.5165473528200974</v>
          </cell>
          <cell r="I927">
            <v>1.8960832541190076</v>
          </cell>
          <cell r="J927">
            <v>2.3669417755274909</v>
          </cell>
        </row>
        <row r="928">
          <cell r="A928" t="str">
            <v>RHSA-WHSTG-ELCHP</v>
          </cell>
          <cell r="B928" t="str">
            <v>VAR_fout</v>
          </cell>
          <cell r="C928" t="str">
            <v>RHSA-WHAELCH</v>
          </cell>
          <cell r="H928">
            <v>1.515032320499597</v>
          </cell>
          <cell r="I928">
            <v>1.8941890650539532</v>
          </cell>
          <cell r="J928">
            <v>2.3645771983291617</v>
          </cell>
        </row>
        <row r="929">
          <cell r="A929" t="str">
            <v>RHSA-WHSTG-ELCHP</v>
          </cell>
          <cell r="B929" t="str">
            <v>VAR_fin</v>
          </cell>
          <cell r="C929" t="str">
            <v>RHSA-WHAELCH</v>
          </cell>
          <cell r="H929">
            <v>1.51503307124965</v>
          </cell>
          <cell r="I929">
            <v>1.8941900473083064</v>
          </cell>
          <cell r="J929">
            <v>2.3645793071913808</v>
          </cell>
        </row>
        <row r="930">
          <cell r="A930" t="str">
            <v>RHSA-WHSTG-ELCHP</v>
          </cell>
          <cell r="B930" t="str">
            <v>VAR_ncap</v>
          </cell>
          <cell r="C930" t="str">
            <v>-</v>
          </cell>
          <cell r="H930">
            <v>7.5209821004108196E-2</v>
          </cell>
          <cell r="I930">
            <v>6.5897291177014303E-2</v>
          </cell>
          <cell r="J930">
            <v>0.14264854155349499</v>
          </cell>
        </row>
        <row r="931">
          <cell r="A931" t="str">
            <v>RHSA-WHSTG-ELCHP</v>
          </cell>
          <cell r="B931" t="str">
            <v>VAR_cap</v>
          </cell>
          <cell r="C931" t="str">
            <v>-</v>
          </cell>
          <cell r="H931">
            <v>0.14174013862747481</v>
          </cell>
          <cell r="I931">
            <v>0.16823333545246832</v>
          </cell>
          <cell r="J931">
            <v>0.22227850721844281</v>
          </cell>
        </row>
        <row r="932">
          <cell r="A932" t="str">
            <v>RES-ELCSPECADV</v>
          </cell>
          <cell r="B932" t="str">
            <v>VAR_ncap</v>
          </cell>
          <cell r="C932" t="str">
            <v>-</v>
          </cell>
          <cell r="H932">
            <v>2.12186990602422E-8</v>
          </cell>
          <cell r="J932">
            <v>1.4529933343435E-8</v>
          </cell>
        </row>
        <row r="933">
          <cell r="A933" t="str">
            <v>RES-ELCSPECADV</v>
          </cell>
          <cell r="B933" t="str">
            <v>VAR_cap</v>
          </cell>
          <cell r="C933" t="str">
            <v>-</v>
          </cell>
          <cell r="H933">
            <v>-1.222479008348748E-7</v>
          </cell>
          <cell r="I933">
            <v>-2.685667266858788E-7</v>
          </cell>
          <cell r="J933">
            <v>-1.8919415757244478E-7</v>
          </cell>
        </row>
        <row r="934">
          <cell r="A934" t="str">
            <v>ITOT-SWHSTG-ELCHP</v>
          </cell>
          <cell r="B934" t="str">
            <v>VAR_fout</v>
          </cell>
          <cell r="C934" t="str">
            <v>ITOT-SWHAELCH</v>
          </cell>
          <cell r="H934">
            <v>3.542851087717282E-4</v>
          </cell>
          <cell r="I934">
            <v>1.8105934775346826E-4</v>
          </cell>
          <cell r="J934">
            <v>7.812252281784028E-4</v>
          </cell>
        </row>
        <row r="935">
          <cell r="A935" t="str">
            <v>ITOT-SWHSTG-ELCHP</v>
          </cell>
          <cell r="B935" t="str">
            <v>VAR_fin</v>
          </cell>
          <cell r="C935" t="str">
            <v>ITOT-SWHAELCH</v>
          </cell>
          <cell r="H935">
            <v>4.4010465253837379E-4</v>
          </cell>
          <cell r="I935">
            <v>2.1988994027741541E-4</v>
          </cell>
          <cell r="J935">
            <v>8.8069800346812473E-4</v>
          </cell>
        </row>
        <row r="936">
          <cell r="A936" t="str">
            <v>ITOT-SWHSTG-ELCHP</v>
          </cell>
          <cell r="B936" t="str">
            <v>VAR_ncap</v>
          </cell>
          <cell r="C936" t="str">
            <v>-</v>
          </cell>
          <cell r="H936">
            <v>3.1282482871440802E-2</v>
          </cell>
          <cell r="I936">
            <v>1.6845817854975902E-2</v>
          </cell>
          <cell r="J936">
            <v>3.9584927716758103E-2</v>
          </cell>
        </row>
        <row r="937">
          <cell r="A937" t="str">
            <v>ITOT-SWHSTG-ELCHP</v>
          </cell>
          <cell r="B937" t="str">
            <v>VAR_cap</v>
          </cell>
          <cell r="C937" t="str">
            <v>-</v>
          </cell>
          <cell r="H937">
            <v>6.482664080465686E-2</v>
          </cell>
          <cell r="I937">
            <v>6.539653112714075E-2</v>
          </cell>
          <cell r="J937">
            <v>6.5035715075299649E-2</v>
          </cell>
        </row>
        <row r="938">
          <cell r="A938" t="str">
            <v>D-RHNS_LTH_CHPWOD</v>
          </cell>
          <cell r="B938" t="str">
            <v>VAR_fout</v>
          </cell>
          <cell r="C938" t="str">
            <v>RHNS_LTH_CHPWOD_ON</v>
          </cell>
          <cell r="H938">
            <v>8.8069146259871808E-7</v>
          </cell>
          <cell r="I938">
            <v>4.1782613505453051E-5</v>
          </cell>
        </row>
        <row r="939">
          <cell r="A939" t="str">
            <v>D-RHNS_LTH_CHPWOD</v>
          </cell>
          <cell r="B939" t="str">
            <v>VAR_fout</v>
          </cell>
          <cell r="C939" t="str">
            <v>RHSA_LTH</v>
          </cell>
          <cell r="H939">
            <v>1.9976002174162263E-4</v>
          </cell>
          <cell r="I939">
            <v>5.1957508716821629E-5</v>
          </cell>
          <cell r="J939">
            <v>2.0754064714092424E-4</v>
          </cell>
        </row>
        <row r="940">
          <cell r="A940" t="str">
            <v>D-RHNS_LTH_CHPWOD</v>
          </cell>
          <cell r="B940" t="str">
            <v>VAR_fin</v>
          </cell>
          <cell r="C940" t="str">
            <v>RHNS_LTH_CHPWOD</v>
          </cell>
          <cell r="H940">
            <v>2.0086504845850709E-4</v>
          </cell>
          <cell r="I940">
            <v>9.3895473224385074E-5</v>
          </cell>
          <cell r="J940">
            <v>2.0796888584961938E-4</v>
          </cell>
        </row>
        <row r="941">
          <cell r="A941" t="str">
            <v>D-SBIO</v>
          </cell>
          <cell r="B941" t="str">
            <v>VAR_fout</v>
          </cell>
          <cell r="C941" t="str">
            <v>SBIO</v>
          </cell>
          <cell r="H941">
            <v>2.9902037367918672</v>
          </cell>
          <cell r="I941">
            <v>2.9494347160453263</v>
          </cell>
          <cell r="J941">
            <v>2.8712695688230414</v>
          </cell>
        </row>
        <row r="942">
          <cell r="A942" t="str">
            <v>D-SBIO</v>
          </cell>
          <cell r="B942" t="str">
            <v>VAR_fin</v>
          </cell>
          <cell r="C942" t="str">
            <v>BIO</v>
          </cell>
          <cell r="H942">
            <v>2.9902037367918672</v>
          </cell>
          <cell r="I942">
            <v>2.9494347160453263</v>
          </cell>
          <cell r="J942">
            <v>2.8712695688230414</v>
          </cell>
        </row>
        <row r="943">
          <cell r="A943" t="str">
            <v>RHEM-SHDEM</v>
          </cell>
          <cell r="B943" t="str">
            <v>VAR_fout</v>
          </cell>
          <cell r="C943" t="str">
            <v>RHEM-SHD</v>
          </cell>
          <cell r="H943">
            <v>63.725878929891387</v>
          </cell>
          <cell r="I943">
            <v>62.488267766505729</v>
          </cell>
          <cell r="J943">
            <v>60.758133101145241</v>
          </cell>
        </row>
        <row r="944">
          <cell r="A944" t="str">
            <v>RHEM-SHDEM</v>
          </cell>
          <cell r="B944" t="str">
            <v>VAR_fin</v>
          </cell>
          <cell r="C944" t="str">
            <v>RHEM-SHNST</v>
          </cell>
        </row>
        <row r="945">
          <cell r="A945" t="str">
            <v>RHEM-SHDEM</v>
          </cell>
          <cell r="B945" t="str">
            <v>VAR_fin</v>
          </cell>
          <cell r="C945" t="str">
            <v>RHEM-SHPLT</v>
          </cell>
          <cell r="H945">
            <v>0.50384488257502924</v>
          </cell>
          <cell r="I945">
            <v>0.56881376752488577</v>
          </cell>
          <cell r="J945">
            <v>0.66585253300852421</v>
          </cell>
        </row>
        <row r="946">
          <cell r="A946" t="str">
            <v>RHEM-SHDEM</v>
          </cell>
          <cell r="B946" t="str">
            <v>VAR_fin</v>
          </cell>
          <cell r="C946" t="str">
            <v>RHEM-SHNGAH</v>
          </cell>
          <cell r="H946">
            <v>5.6181958307108877</v>
          </cell>
          <cell r="I946">
            <v>6.792784763872743</v>
          </cell>
          <cell r="J946">
            <v>9.1566629737673146</v>
          </cell>
        </row>
        <row r="947">
          <cell r="A947" t="str">
            <v>RHEM-SHDEM</v>
          </cell>
          <cell r="B947" t="str">
            <v>VAR_fin</v>
          </cell>
          <cell r="C947" t="str">
            <v>RHEM-SHLTHC-WOD</v>
          </cell>
        </row>
        <row r="948">
          <cell r="A948" t="str">
            <v>RHEM-SHDEM</v>
          </cell>
          <cell r="B948" t="str">
            <v>VAR_fin</v>
          </cell>
          <cell r="C948" t="str">
            <v>RHEM-SHSOL</v>
          </cell>
          <cell r="H948">
            <v>1.2622254363249565E-2</v>
          </cell>
          <cell r="I948">
            <v>1.2955393655114097E-2</v>
          </cell>
          <cell r="J948">
            <v>1.3161065397622863E-2</v>
          </cell>
        </row>
        <row r="949">
          <cell r="A949" t="str">
            <v>RHEM-SHDEM</v>
          </cell>
          <cell r="B949" t="str">
            <v>VAR_fin</v>
          </cell>
          <cell r="C949" t="str">
            <v>RHEM-SHLTHD</v>
          </cell>
          <cell r="H949">
            <v>5.0391282450263342</v>
          </cell>
          <cell r="I949">
            <v>5.0868070358968733</v>
          </cell>
          <cell r="J949">
            <v>5.1867957130742148</v>
          </cell>
        </row>
        <row r="950">
          <cell r="A950" t="str">
            <v>RHEM-SHDEM</v>
          </cell>
          <cell r="B950" t="str">
            <v>VAR_fin</v>
          </cell>
          <cell r="C950" t="str">
            <v>RHEM-SHNGA</v>
          </cell>
          <cell r="H950">
            <v>14.946285948254088</v>
          </cell>
          <cell r="I950">
            <v>11.228707651947893</v>
          </cell>
          <cell r="J950">
            <v>4.9496274933254867</v>
          </cell>
        </row>
        <row r="951">
          <cell r="A951" t="str">
            <v>RHEM-SHDEM</v>
          </cell>
          <cell r="B951" t="str">
            <v>VAR_fin</v>
          </cell>
          <cell r="C951" t="str">
            <v>RHEM-SHELCB</v>
          </cell>
          <cell r="H951">
            <v>5.0800228552421644E-3</v>
          </cell>
          <cell r="I951">
            <v>4.7047894995265469E-3</v>
          </cell>
          <cell r="J951">
            <v>3.8975909774653819E-3</v>
          </cell>
        </row>
        <row r="952">
          <cell r="A952" t="str">
            <v>RHEM-SHDEM</v>
          </cell>
          <cell r="B952" t="str">
            <v>VAR_fin</v>
          </cell>
          <cell r="C952" t="str">
            <v>RHEM-SHELCH</v>
          </cell>
          <cell r="H952">
            <v>15.51088455560671</v>
          </cell>
          <cell r="I952">
            <v>17.466700973158297</v>
          </cell>
          <cell r="J952">
            <v>21.579142145901102</v>
          </cell>
        </row>
        <row r="953">
          <cell r="A953" t="str">
            <v>RHEM-SHDEM</v>
          </cell>
          <cell r="B953" t="str">
            <v>VAR_fin</v>
          </cell>
          <cell r="C953" t="str">
            <v>RHEM-SHLFO</v>
          </cell>
          <cell r="H953">
            <v>10.465422711729435</v>
          </cell>
          <cell r="I953">
            <v>7.9513655406277293</v>
          </cell>
          <cell r="J953">
            <v>2.6681314370170739</v>
          </cell>
        </row>
        <row r="954">
          <cell r="A954" t="str">
            <v>RHEM-SHDEM</v>
          </cell>
          <cell r="B954" t="str">
            <v>VAR_fin</v>
          </cell>
          <cell r="C954" t="str">
            <v>RHEM-SHCON</v>
          </cell>
          <cell r="H954">
            <v>7.3138508175022192</v>
          </cell>
          <cell r="I954">
            <v>9.3795249611796514</v>
          </cell>
          <cell r="J954">
            <v>13.230099938703855</v>
          </cell>
        </row>
        <row r="955">
          <cell r="A955" t="str">
            <v>RHEM-SHDEM</v>
          </cell>
          <cell r="B955" t="str">
            <v>VAR_fin</v>
          </cell>
          <cell r="C955" t="str">
            <v>RHEM-SHWOD</v>
          </cell>
          <cell r="H955">
            <v>4.3107184698602632</v>
          </cell>
          <cell r="I955">
            <v>3.9960433977681764</v>
          </cell>
          <cell r="J955">
            <v>3.3048798492204416</v>
          </cell>
        </row>
        <row r="956">
          <cell r="A956" t="str">
            <v>RHEM-SHDEM</v>
          </cell>
          <cell r="B956" t="str">
            <v>VAR_fin</v>
          </cell>
          <cell r="C956" t="str">
            <v>RHEM-SHLTHC-NGA</v>
          </cell>
        </row>
        <row r="957">
          <cell r="A957" t="str">
            <v>ITOT-SWHH2BR</v>
          </cell>
          <cell r="B957" t="str">
            <v>VAR_fout</v>
          </cell>
          <cell r="C957" t="str">
            <v>ITOT-SWH</v>
          </cell>
          <cell r="H957">
            <v>3.8004960138617381E-3</v>
          </cell>
          <cell r="I957">
            <v>3.8242698862831549E-3</v>
          </cell>
          <cell r="J957">
            <v>0.14976779736153714</v>
          </cell>
        </row>
        <row r="958">
          <cell r="A958" t="str">
            <v>ITOT-SWHH2BR</v>
          </cell>
          <cell r="B958" t="str">
            <v>VAR_fin</v>
          </cell>
          <cell r="C958" t="str">
            <v>IH2</v>
          </cell>
          <cell r="H958">
            <v>4.7107850852728134E-3</v>
          </cell>
          <cell r="I958">
            <v>4.7299255157118164E-3</v>
          </cell>
          <cell r="J958">
            <v>0.18443184144536756</v>
          </cell>
        </row>
        <row r="959">
          <cell r="A959" t="str">
            <v>ITOT-SWHH2BR</v>
          </cell>
          <cell r="B959" t="str">
            <v>VAR_ncap</v>
          </cell>
          <cell r="C959" t="str">
            <v>-</v>
          </cell>
          <cell r="H959">
            <v>9.8577968319680205E-5</v>
          </cell>
          <cell r="I959">
            <v>7.9140235648654498E-5</v>
          </cell>
          <cell r="J959">
            <v>1.35268812463539E-2</v>
          </cell>
        </row>
        <row r="960">
          <cell r="A960" t="str">
            <v>ITOT-SWHH2BR</v>
          </cell>
          <cell r="B960" t="str">
            <v>VAR_cap</v>
          </cell>
          <cell r="C960" t="str">
            <v>-</v>
          </cell>
          <cell r="H960">
            <v>3.5696566912611584E-4</v>
          </cell>
          <cell r="I960">
            <v>3.5257579275953596E-4</v>
          </cell>
          <cell r="J960">
            <v>1.3624636580861356E-2</v>
          </cell>
        </row>
        <row r="961">
          <cell r="A961" t="str">
            <v>RHNS-SHSTG-ELC</v>
          </cell>
          <cell r="B961" t="str">
            <v>VAR_fout</v>
          </cell>
          <cell r="C961" t="str">
            <v>RHNS-SHAELCB</v>
          </cell>
          <cell r="H961">
            <v>2.6268522863774524E-3</v>
          </cell>
          <cell r="I961">
            <v>4.6308703908671117E-3</v>
          </cell>
          <cell r="J961">
            <v>2.8062471458760105E-3</v>
          </cell>
        </row>
        <row r="962">
          <cell r="A962" t="str">
            <v>RHNS-SHSTG-ELC</v>
          </cell>
          <cell r="B962" t="str">
            <v>VAR_fout</v>
          </cell>
          <cell r="C962" t="str">
            <v>AUX_RHNS-SHSTG-ELC_OUT</v>
          </cell>
          <cell r="H962">
            <v>2.6294791386638271E-3</v>
          </cell>
          <cell r="I962">
            <v>4.635501261257979E-3</v>
          </cell>
          <cell r="J962">
            <v>2.8090533930218882E-3</v>
          </cell>
        </row>
        <row r="963">
          <cell r="A963" t="str">
            <v>RHNS-SHSTG-ELC</v>
          </cell>
          <cell r="B963" t="str">
            <v>VAR_fin</v>
          </cell>
          <cell r="C963" t="str">
            <v>RHNS-SHAELCB</v>
          </cell>
          <cell r="H963">
            <v>2.6260561893383366E-3</v>
          </cell>
          <cell r="I963">
            <v>4.6301879790460031E-3</v>
          </cell>
          <cell r="J963">
            <v>2.8062279359908574E-3</v>
          </cell>
        </row>
        <row r="964">
          <cell r="A964" t="str">
            <v>RHNS-SHSTG-ELC</v>
          </cell>
          <cell r="B964" t="str">
            <v>VAR_ncap</v>
          </cell>
          <cell r="C964" t="str">
            <v>-</v>
          </cell>
          <cell r="H964">
            <v>5.5665488235156601E-4</v>
          </cell>
          <cell r="I964">
            <v>2.7235664348286798E-4</v>
          </cell>
          <cell r="J964">
            <v>3.14635516001167E-6</v>
          </cell>
        </row>
        <row r="965">
          <cell r="A965" t="str">
            <v>RHNS-SHSTG-ELC</v>
          </cell>
          <cell r="B965" t="str">
            <v>VAR_cap</v>
          </cell>
          <cell r="C965" t="str">
            <v>-</v>
          </cell>
          <cell r="H965">
            <v>1.4383417154234291E-3</v>
          </cell>
          <cell r="I965">
            <v>9.8237151289398022E-4</v>
          </cell>
          <cell r="J965">
            <v>4.157878141341159E-4</v>
          </cell>
        </row>
        <row r="966">
          <cell r="A966" t="str">
            <v>RHES-SHCOABR</v>
          </cell>
          <cell r="B966" t="str">
            <v>VAR_fout</v>
          </cell>
          <cell r="C966" t="str">
            <v>CO2_R</v>
          </cell>
          <cell r="H966">
            <v>2.1076302150538E-2</v>
          </cell>
        </row>
        <row r="967">
          <cell r="A967" t="str">
            <v>RHES-SHCOABR</v>
          </cell>
          <cell r="B967" t="str">
            <v>VAR_fout</v>
          </cell>
          <cell r="C967" t="str">
            <v>RHES-SHCOA</v>
          </cell>
          <cell r="H967">
            <v>1.8188826019881752E-4</v>
          </cell>
        </row>
        <row r="968">
          <cell r="A968" t="str">
            <v>RHES-SHCOABR</v>
          </cell>
          <cell r="B968" t="str">
            <v>VAR_fin</v>
          </cell>
          <cell r="C968" t="str">
            <v>RCOA</v>
          </cell>
          <cell r="H968">
            <v>2.2736032524852179E-4</v>
          </cell>
        </row>
        <row r="969">
          <cell r="A969" t="str">
            <v>RHES-SHCOABR</v>
          </cell>
          <cell r="B969" t="str">
            <v>VAR_cap</v>
          </cell>
          <cell r="C969" t="str">
            <v>-</v>
          </cell>
          <cell r="H969">
            <v>2.5371519107699912E-5</v>
          </cell>
        </row>
        <row r="970">
          <cell r="A970" t="str">
            <v>D-INGA</v>
          </cell>
          <cell r="B970" t="str">
            <v>VAR_fout</v>
          </cell>
          <cell r="C970" t="str">
            <v>CO2</v>
          </cell>
          <cell r="H970">
            <v>1487.74726553243</v>
          </cell>
          <cell r="I970">
            <v>1493.83936592382</v>
          </cell>
          <cell r="J970">
            <v>1366.9506093330799</v>
          </cell>
        </row>
        <row r="971">
          <cell r="A971" t="str">
            <v>D-INGA</v>
          </cell>
          <cell r="B971" t="str">
            <v>VAR_fout</v>
          </cell>
          <cell r="C971" t="str">
            <v>IH2</v>
          </cell>
          <cell r="H971">
            <v>3.6179022586178577E-3</v>
          </cell>
          <cell r="I971">
            <v>3.9086741707524738E-3</v>
          </cell>
          <cell r="J971">
            <v>0.15375995085541189</v>
          </cell>
        </row>
        <row r="972">
          <cell r="A972" t="str">
            <v>D-INGA</v>
          </cell>
          <cell r="B972" t="str">
            <v>VAR_fout</v>
          </cell>
          <cell r="C972" t="str">
            <v>INGA</v>
          </cell>
          <cell r="H972">
            <v>29.38387865731417</v>
          </cell>
          <cell r="I972">
            <v>29.49154830799058</v>
          </cell>
          <cell r="J972">
            <v>27.248434395057124</v>
          </cell>
        </row>
        <row r="973">
          <cell r="A973" t="str">
            <v>D-INGA</v>
          </cell>
          <cell r="B973" t="str">
            <v>VAR_fin</v>
          </cell>
          <cell r="C973" t="str">
            <v>NGA</v>
          </cell>
          <cell r="H973">
            <v>26.378497615823321</v>
          </cell>
          <cell r="I973">
            <v>26.486513580209511</v>
          </cell>
          <cell r="J973">
            <v>24.23671293143758</v>
          </cell>
        </row>
        <row r="974">
          <cell r="A974" t="str">
            <v>D-INGA</v>
          </cell>
          <cell r="B974" t="str">
            <v>VAR_fin</v>
          </cell>
          <cell r="C974" t="str">
            <v>BNGA</v>
          </cell>
          <cell r="H974">
            <v>3.0992636166177836</v>
          </cell>
          <cell r="I974">
            <v>3.0992638369489725</v>
          </cell>
          <cell r="J974">
            <v>3.0992651637144419</v>
          </cell>
        </row>
        <row r="975">
          <cell r="A975" t="str">
            <v>D-INGA</v>
          </cell>
          <cell r="B975" t="str">
            <v>VAR_fin</v>
          </cell>
          <cell r="C975" t="str">
            <v>H2</v>
          </cell>
          <cell r="H975">
            <v>3.6175793755934844E-3</v>
          </cell>
          <cell r="I975">
            <v>3.9066128260037475E-3</v>
          </cell>
          <cell r="J975">
            <v>0.15375788951066899</v>
          </cell>
        </row>
        <row r="976">
          <cell r="A976" t="str">
            <v>D-INGA</v>
          </cell>
          <cell r="B976" t="str">
            <v>VAR_ncap</v>
          </cell>
          <cell r="C976" t="str">
            <v>-</v>
          </cell>
          <cell r="H976">
            <v>1.6498340613317799E-7</v>
          </cell>
          <cell r="I976">
            <v>3.1791772463721598E-7</v>
          </cell>
          <cell r="J976">
            <v>5.59558668992126E-2</v>
          </cell>
        </row>
        <row r="977">
          <cell r="A977" t="str">
            <v>D-INGA</v>
          </cell>
          <cell r="B977" t="str">
            <v>VAR_cap</v>
          </cell>
          <cell r="C977" t="str">
            <v>-</v>
          </cell>
          <cell r="H977">
            <v>1.9844838184858717</v>
          </cell>
          <cell r="I977">
            <v>1.9844841364035963</v>
          </cell>
          <cell r="J977">
            <v>1.1514160704826288</v>
          </cell>
        </row>
        <row r="978">
          <cell r="A978" t="str">
            <v>RHEM-SHNGAHP</v>
          </cell>
          <cell r="B978" t="str">
            <v>VAR_fout</v>
          </cell>
          <cell r="C978" t="str">
            <v>CO2_R</v>
          </cell>
          <cell r="H978">
            <v>161.73230586469799</v>
          </cell>
          <cell r="I978">
            <v>193.27342281288799</v>
          </cell>
          <cell r="J978">
            <v>254.45595686509901</v>
          </cell>
        </row>
        <row r="979">
          <cell r="A979" t="str">
            <v>RHEM-SHNGAHP</v>
          </cell>
          <cell r="B979" t="str">
            <v>VAR_fout</v>
          </cell>
          <cell r="C979" t="str">
            <v>RHEM-SHANGAH</v>
          </cell>
          <cell r="H979">
            <v>5.618198980817092</v>
          </cell>
          <cell r="I979">
            <v>6.7927880500045363</v>
          </cell>
          <cell r="J979">
            <v>9.1566664184857736</v>
          </cell>
        </row>
        <row r="980">
          <cell r="A980" t="str">
            <v>RHEM-SHNGAHP</v>
          </cell>
          <cell r="B980" t="str">
            <v>VAR_fin</v>
          </cell>
          <cell r="C980" t="str">
            <v>RHEMELCHPC</v>
          </cell>
          <cell r="H980">
            <v>5.618198980817092</v>
          </cell>
          <cell r="I980">
            <v>6.7927880500045363</v>
          </cell>
          <cell r="J980">
            <v>9.1566664184857736</v>
          </cell>
        </row>
        <row r="981">
          <cell r="A981" t="str">
            <v>RHEM-SHNGAHP</v>
          </cell>
          <cell r="B981" t="str">
            <v>VAR_fin</v>
          </cell>
          <cell r="C981" t="str">
            <v>RNGA</v>
          </cell>
          <cell r="H981">
            <v>2.8675940756152141</v>
          </cell>
          <cell r="I981">
            <v>3.4268337378171618</v>
          </cell>
          <cell r="J981">
            <v>4.5116304408705545</v>
          </cell>
        </row>
        <row r="982">
          <cell r="A982" t="str">
            <v>RHEM-SHNGAHP</v>
          </cell>
          <cell r="B982" t="str">
            <v>VAR_ncap</v>
          </cell>
          <cell r="C982" t="str">
            <v>-</v>
          </cell>
          <cell r="H982">
            <v>9.9579209660968795E-2</v>
          </cell>
          <cell r="I982">
            <v>0.248069856680986</v>
          </cell>
          <cell r="J982">
            <v>0.42443208883290101</v>
          </cell>
        </row>
        <row r="983">
          <cell r="A983" t="str">
            <v>RHEM-SHNGAHP</v>
          </cell>
          <cell r="B983" t="str">
            <v>VAR_cap</v>
          </cell>
          <cell r="C983" t="str">
            <v>-</v>
          </cell>
          <cell r="H983">
            <v>0.39672404463147354</v>
          </cell>
          <cell r="I983">
            <v>0.47966547489381561</v>
          </cell>
          <cell r="J983">
            <v>0.64658615364619199</v>
          </cell>
        </row>
        <row r="984">
          <cell r="A984" t="str">
            <v>D-SPLT</v>
          </cell>
          <cell r="B984" t="str">
            <v>VAR_fout</v>
          </cell>
          <cell r="C984" t="str">
            <v>SPLT</v>
          </cell>
          <cell r="H984">
            <v>1.2909842455945253</v>
          </cell>
          <cell r="I984">
            <v>1.5136728068811154</v>
          </cell>
          <cell r="J984">
            <v>1.8537007464508497</v>
          </cell>
        </row>
        <row r="985">
          <cell r="A985" t="str">
            <v>D-SPLT</v>
          </cell>
          <cell r="B985" t="str">
            <v>VAR_fin</v>
          </cell>
          <cell r="C985" t="str">
            <v>PLT</v>
          </cell>
          <cell r="H985">
            <v>1.2909842455945253</v>
          </cell>
          <cell r="I985">
            <v>1.5136728068811154</v>
          </cell>
          <cell r="J985">
            <v>1.8537007464508497</v>
          </cell>
        </row>
        <row r="986">
          <cell r="A986" t="str">
            <v>RHES-SHCONBR</v>
          </cell>
          <cell r="B986" t="str">
            <v>VAR_fout</v>
          </cell>
          <cell r="C986" t="str">
            <v>RHES-SHCON</v>
          </cell>
          <cell r="H986">
            <v>1.2422214022601357E-5</v>
          </cell>
          <cell r="I986">
            <v>1.2550023171753939E-5</v>
          </cell>
          <cell r="J986">
            <v>1.0466690768342892E-5</v>
          </cell>
        </row>
        <row r="987">
          <cell r="A987" t="str">
            <v>RHES-SHCONBR</v>
          </cell>
          <cell r="B987" t="str">
            <v>VAR_fin</v>
          </cell>
          <cell r="C987" t="str">
            <v>CON</v>
          </cell>
          <cell r="H987">
            <v>1.2422214022601357E-5</v>
          </cell>
          <cell r="I987">
            <v>1.2550023171753939E-5</v>
          </cell>
          <cell r="J987">
            <v>1.0466690768342892E-5</v>
          </cell>
        </row>
        <row r="988">
          <cell r="A988" t="str">
            <v>RHES-SHCONBR</v>
          </cell>
          <cell r="B988" t="str">
            <v>VAR_ncap</v>
          </cell>
          <cell r="C988" t="str">
            <v>-</v>
          </cell>
          <cell r="H988">
            <v>1.40362228552986E-8</v>
          </cell>
          <cell r="I988">
            <v>4.1513687818939002E-8</v>
          </cell>
          <cell r="J988">
            <v>6.8350429689203903E-8</v>
          </cell>
        </row>
        <row r="989">
          <cell r="A989" t="str">
            <v>RHES-SHCONBR</v>
          </cell>
          <cell r="B989" t="str">
            <v>VAR_cap</v>
          </cell>
          <cell r="C989" t="str">
            <v>-</v>
          </cell>
          <cell r="H989">
            <v>1.01464470394727E-7</v>
          </cell>
          <cell r="I989">
            <v>1.4297815821366601E-7</v>
          </cell>
          <cell r="J989">
            <v>2.1132858790287E-7</v>
          </cell>
        </row>
        <row r="990">
          <cell r="A990" t="str">
            <v>RHSA-WHSOLBR</v>
          </cell>
          <cell r="B990" t="str">
            <v>VAR_fout</v>
          </cell>
          <cell r="C990" t="str">
            <v>RHSA-WHASOL</v>
          </cell>
          <cell r="H990">
            <v>1.1916289868981327</v>
          </cell>
          <cell r="I990">
            <v>1.2853364411628689</v>
          </cell>
          <cell r="J990">
            <v>1.4830710743695474</v>
          </cell>
        </row>
        <row r="991">
          <cell r="A991" t="str">
            <v>RHSA-WHSOLBR</v>
          </cell>
          <cell r="B991" t="str">
            <v>VAR_fin</v>
          </cell>
          <cell r="C991" t="str">
            <v>SOL</v>
          </cell>
          <cell r="H991">
            <v>1.1916289868981327</v>
          </cell>
          <cell r="I991">
            <v>1.2853364411628689</v>
          </cell>
          <cell r="J991">
            <v>1.4830710743695474</v>
          </cell>
        </row>
        <row r="992">
          <cell r="A992" t="str">
            <v>RHSA-WHSOLBR</v>
          </cell>
          <cell r="B992" t="str">
            <v>VAR_fin</v>
          </cell>
          <cell r="C992" t="str">
            <v>RHSASOLBRC</v>
          </cell>
          <cell r="H992">
            <v>1.1916289868981327</v>
          </cell>
          <cell r="I992">
            <v>1.2853364411628689</v>
          </cell>
          <cell r="J992">
            <v>1.4830710743695474</v>
          </cell>
        </row>
        <row r="993">
          <cell r="A993" t="str">
            <v>RHSA-WHSOLBR</v>
          </cell>
          <cell r="B993" t="str">
            <v>VAR_ncap</v>
          </cell>
          <cell r="C993" t="str">
            <v>-</v>
          </cell>
          <cell r="H993">
            <v>0.16212729186832001</v>
          </cell>
          <cell r="I993">
            <v>0.129226395918417</v>
          </cell>
          <cell r="J993">
            <v>0.17663994604323999</v>
          </cell>
        </row>
        <row r="994">
          <cell r="A994" t="str">
            <v>RHSA-WHSOLBR</v>
          </cell>
          <cell r="B994" t="str">
            <v>VAR_cap</v>
          </cell>
          <cell r="C994" t="str">
            <v>-</v>
          </cell>
          <cell r="H994">
            <v>0.26925004153578957</v>
          </cell>
          <cell r="I994">
            <v>0.2913536726078525</v>
          </cell>
          <cell r="J994">
            <v>0.33900280682231387</v>
          </cell>
        </row>
        <row r="995">
          <cell r="A995" t="str">
            <v>SCOM-SHCONBR</v>
          </cell>
          <cell r="B995" t="str">
            <v>VAR_ncap</v>
          </cell>
          <cell r="C995" t="str">
            <v>-</v>
          </cell>
          <cell r="H995">
            <v>1.28649691888645E-7</v>
          </cell>
          <cell r="I995">
            <v>3.4168580741099597E-8</v>
          </cell>
          <cell r="J995">
            <v>5.9873354921099503E-8</v>
          </cell>
        </row>
        <row r="996">
          <cell r="A996" t="str">
            <v>SCOM-SHCONBR</v>
          </cell>
          <cell r="B996" t="str">
            <v>VAR_cap</v>
          </cell>
          <cell r="C996" t="str">
            <v>-</v>
          </cell>
          <cell r="H996">
            <v>1.4961962727849401E-7</v>
          </cell>
          <cell r="I996">
            <v>1.8378820801959401E-7</v>
          </cell>
          <cell r="J996">
            <v>2.4366156294069298E-7</v>
          </cell>
        </row>
        <row r="997">
          <cell r="A997" t="str">
            <v>RHNM-SHNGABR</v>
          </cell>
          <cell r="B997" t="str">
            <v>VAR_fout</v>
          </cell>
          <cell r="C997" t="str">
            <v>CO2_R</v>
          </cell>
          <cell r="H997">
            <v>19.904684995741299</v>
          </cell>
          <cell r="I997">
            <v>21.573855822644902</v>
          </cell>
          <cell r="J997">
            <v>18.010445422940698</v>
          </cell>
        </row>
        <row r="998">
          <cell r="A998" t="str">
            <v>RHNM-SHNGABR</v>
          </cell>
          <cell r="B998" t="str">
            <v>VAR_fout</v>
          </cell>
          <cell r="C998" t="str">
            <v>RHNM-SHNGA</v>
          </cell>
          <cell r="H998">
            <v>0.33872730573864768</v>
          </cell>
          <cell r="I998">
            <v>0.36713693921534979</v>
          </cell>
          <cell r="J998">
            <v>0.30649596719483868</v>
          </cell>
        </row>
        <row r="999">
          <cell r="A999" t="str">
            <v>RHNM-SHNGABR</v>
          </cell>
          <cell r="B999" t="str">
            <v>VAR_fin</v>
          </cell>
          <cell r="C999" t="str">
            <v>RNGA</v>
          </cell>
          <cell r="H999">
            <v>0.3529199467330017</v>
          </cell>
          <cell r="I999">
            <v>0.3825151741603704</v>
          </cell>
          <cell r="J999">
            <v>0.31933413870462202</v>
          </cell>
        </row>
        <row r="1000">
          <cell r="A1000" t="str">
            <v>RHNM-SHNGABR</v>
          </cell>
          <cell r="B1000" t="str">
            <v>VAR_ncap</v>
          </cell>
          <cell r="C1000" t="str">
            <v>-</v>
          </cell>
          <cell r="H1000">
            <v>4.6935549408345998E-7</v>
          </cell>
          <cell r="I1000">
            <v>2.85082486968244E-2</v>
          </cell>
          <cell r="J1000">
            <v>3.11151722660012E-3</v>
          </cell>
        </row>
        <row r="1001">
          <cell r="A1001" t="str">
            <v>RHNM-SHNGABR</v>
          </cell>
          <cell r="B1001" t="str">
            <v>VAR_cap</v>
          </cell>
          <cell r="C1001" t="str">
            <v>-</v>
          </cell>
          <cell r="H1001">
            <v>2.6365335880847589E-2</v>
          </cell>
          <cell r="I1001">
            <v>2.8508646755263097E-2</v>
          </cell>
          <cell r="J1001">
            <v>2.3801042703981101E-2</v>
          </cell>
        </row>
        <row r="1002">
          <cell r="A1002" t="str">
            <v>RHES-SHSOLBR</v>
          </cell>
          <cell r="B1002" t="str">
            <v>VAR_fout</v>
          </cell>
          <cell r="C1002" t="str">
            <v>RHES-SHASOL</v>
          </cell>
          <cell r="H1002">
            <v>2.5725657167432983E-2</v>
          </cell>
          <cell r="I1002">
            <v>2.6314221987013341E-2</v>
          </cell>
          <cell r="J1002">
            <v>2.7393176870502786E-2</v>
          </cell>
        </row>
        <row r="1003">
          <cell r="A1003" t="str">
            <v>RHES-SHSOLBR</v>
          </cell>
          <cell r="B1003" t="str">
            <v>VAR_fin</v>
          </cell>
          <cell r="C1003" t="str">
            <v>SOL</v>
          </cell>
          <cell r="H1003">
            <v>2.5725657167432983E-2</v>
          </cell>
          <cell r="I1003">
            <v>2.6314221987013341E-2</v>
          </cell>
          <cell r="J1003">
            <v>2.7393176870502786E-2</v>
          </cell>
        </row>
        <row r="1004">
          <cell r="A1004" t="str">
            <v>RHES-SHSOLBR</v>
          </cell>
          <cell r="B1004" t="str">
            <v>VAR_ncap</v>
          </cell>
          <cell r="C1004" t="str">
            <v>-</v>
          </cell>
          <cell r="H1004">
            <v>5.8199178538500403E-8</v>
          </cell>
          <cell r="I1004">
            <v>3.8243153946728599E-3</v>
          </cell>
          <cell r="J1004">
            <v>1.20428256527818E-3</v>
          </cell>
        </row>
        <row r="1005">
          <cell r="A1005" t="str">
            <v>RHES-SHSOLBR</v>
          </cell>
          <cell r="B1005" t="str">
            <v>VAR_cap</v>
          </cell>
          <cell r="C1005" t="str">
            <v>-</v>
          </cell>
          <cell r="H1005">
            <v>1.8443650248694567E-2</v>
          </cell>
          <cell r="I1005">
            <v>3.8243465107474493E-3</v>
          </cell>
          <cell r="J1005">
            <v>3.9797199295533098E-3</v>
          </cell>
        </row>
        <row r="1006">
          <cell r="A1006" t="str">
            <v>SCOM-SHSOLBR</v>
          </cell>
          <cell r="B1006" t="str">
            <v>VAR_fout</v>
          </cell>
          <cell r="C1006" t="str">
            <v>SCOM-SHASOL</v>
          </cell>
          <cell r="H1006">
            <v>0.68114586012641432</v>
          </cell>
          <cell r="I1006">
            <v>0.73462659933055852</v>
          </cell>
          <cell r="J1006">
            <v>0.87740687823161689</v>
          </cell>
        </row>
        <row r="1007">
          <cell r="A1007" t="str">
            <v>SCOM-SHSOLBR</v>
          </cell>
          <cell r="B1007" t="str">
            <v>VAR_fin</v>
          </cell>
          <cell r="C1007" t="str">
            <v>SOL</v>
          </cell>
          <cell r="H1007">
            <v>0.68114586012641432</v>
          </cell>
          <cell r="I1007">
            <v>0.73462659933055852</v>
          </cell>
          <cell r="J1007">
            <v>0.87740687823161689</v>
          </cell>
        </row>
        <row r="1008">
          <cell r="A1008" t="str">
            <v>SCOM-SHSOLBR</v>
          </cell>
          <cell r="B1008" t="str">
            <v>VAR_ncap</v>
          </cell>
          <cell r="C1008" t="str">
            <v>-</v>
          </cell>
          <cell r="H1008">
            <v>7.0823839374215505E-2</v>
          </cell>
          <cell r="I1008">
            <v>3.5870296946856499E-2</v>
          </cell>
          <cell r="J1008">
            <v>7.1438408603645004E-2</v>
          </cell>
        </row>
        <row r="1009">
          <cell r="A1009" t="str">
            <v>SCOM-SHSOLBR</v>
          </cell>
          <cell r="B1009" t="str">
            <v>VAR_cap</v>
          </cell>
          <cell r="C1009" t="str">
            <v>-</v>
          </cell>
          <cell r="H1009">
            <v>9.8927361710080999E-2</v>
          </cell>
          <cell r="I1009">
            <v>0.10669411836880721</v>
          </cell>
          <cell r="J1009">
            <v>0.12742874762811163</v>
          </cell>
        </row>
        <row r="1010">
          <cell r="A1010" t="str">
            <v>RHEM-SHSTG-ELCHP</v>
          </cell>
          <cell r="B1010" t="str">
            <v>VAR_fout</v>
          </cell>
          <cell r="C1010" t="str">
            <v>RHEM-SHAELCH</v>
          </cell>
          <cell r="H1010">
            <v>2.1971405011477945</v>
          </cell>
          <cell r="I1010">
            <v>2.6528702570994422</v>
          </cell>
          <cell r="J1010">
            <v>3.1646174782401579</v>
          </cell>
        </row>
        <row r="1011">
          <cell r="A1011" t="str">
            <v>RHEM-SHSTG-ELCHP</v>
          </cell>
          <cell r="B1011" t="str">
            <v>VAR_fout</v>
          </cell>
          <cell r="C1011" t="str">
            <v>AUX_RHEM-SHSTG-ELCHP_OUT</v>
          </cell>
          <cell r="H1011">
            <v>2.1993376416489441</v>
          </cell>
          <cell r="I1011">
            <v>2.6555231273565423</v>
          </cell>
          <cell r="J1011">
            <v>3.1677820957183975</v>
          </cell>
        </row>
        <row r="1012">
          <cell r="A1012" t="str">
            <v>RHEM-SHSTG-ELCHP</v>
          </cell>
          <cell r="B1012" t="str">
            <v>VAR_fin</v>
          </cell>
          <cell r="C1012" t="str">
            <v>RHEM-SHAELCH</v>
          </cell>
          <cell r="H1012">
            <v>2.1971419561827861</v>
          </cell>
          <cell r="I1012">
            <v>2.652872101886619</v>
          </cell>
          <cell r="J1012">
            <v>3.1646194572669635</v>
          </cell>
        </row>
        <row r="1013">
          <cell r="A1013" t="str">
            <v>RHEM-SHSTG-ELCHP</v>
          </cell>
          <cell r="B1013" t="str">
            <v>VAR_ncap</v>
          </cell>
          <cell r="C1013" t="str">
            <v>-</v>
          </cell>
          <cell r="H1013">
            <v>0.18138888722937599</v>
          </cell>
          <cell r="I1013">
            <v>9.1001248441695104E-2</v>
          </cell>
          <cell r="J1013">
            <v>0.215776370663291</v>
          </cell>
        </row>
        <row r="1014">
          <cell r="A1014" t="str">
            <v>RHEM-SHSTG-ELCHP</v>
          </cell>
          <cell r="B1014" t="str">
            <v>VAR_cap</v>
          </cell>
          <cell r="C1014" t="str">
            <v>-</v>
          </cell>
          <cell r="H1014">
            <v>0.25771243052806597</v>
          </cell>
          <cell r="I1014">
            <v>0.29020878932072097</v>
          </cell>
          <cell r="J1014">
            <v>0.35853677271699841</v>
          </cell>
        </row>
        <row r="1015">
          <cell r="A1015" t="str">
            <v>ITOT-SWHELCBR</v>
          </cell>
          <cell r="B1015" t="str">
            <v>VAR_fout</v>
          </cell>
          <cell r="C1015" t="str">
            <v>ITOT-SWHAELC</v>
          </cell>
          <cell r="H1015">
            <v>11.620481498547532</v>
          </cell>
          <cell r="I1015">
            <v>11.620483657939559</v>
          </cell>
          <cell r="J1015">
            <v>11.95495787018957</v>
          </cell>
        </row>
        <row r="1016">
          <cell r="A1016" t="str">
            <v>ITOT-SWHELCBR</v>
          </cell>
          <cell r="B1016" t="str">
            <v>VAR_fin</v>
          </cell>
          <cell r="C1016" t="str">
            <v>ITOT_ELC</v>
          </cell>
          <cell r="H1016">
            <v>13.736322283766762</v>
          </cell>
          <cell r="I1016">
            <v>13.718206064705774</v>
          </cell>
          <cell r="J1016">
            <v>14.075925912990082</v>
          </cell>
        </row>
        <row r="1017">
          <cell r="A1017" t="str">
            <v>ITOT-SWHELCBR</v>
          </cell>
          <cell r="B1017" t="str">
            <v>VAR_ncap</v>
          </cell>
          <cell r="C1017" t="str">
            <v>-</v>
          </cell>
          <cell r="H1017">
            <v>0.49944935761603099</v>
          </cell>
          <cell r="I1017">
            <v>0.37446022477747998</v>
          </cell>
          <cell r="J1017">
            <v>0.43033814587369901</v>
          </cell>
        </row>
        <row r="1018">
          <cell r="A1018" t="str">
            <v>ITOT-SWHELCBR</v>
          </cell>
          <cell r="B1018" t="str">
            <v>VAR_cap</v>
          </cell>
          <cell r="C1018" t="str">
            <v>-</v>
          </cell>
          <cell r="H1018">
            <v>0.84595231328537612</v>
          </cell>
          <cell r="I1018">
            <v>0.89578830734127446</v>
          </cell>
          <cell r="J1018">
            <v>0.91335898761625844</v>
          </cell>
        </row>
        <row r="1019">
          <cell r="A1019"/>
          <cell r="B1019"/>
          <cell r="C1019"/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/>
          <cell r="B1028"/>
          <cell r="C1028"/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/>
          <cell r="B1037"/>
          <cell r="C1037"/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CO2_R</v>
          </cell>
          <cell r="C4" t="str">
            <v>VAR_fout</v>
          </cell>
          <cell r="D4" t="str">
            <v>RHNM-SHLFOBR</v>
          </cell>
          <cell r="I4">
            <v>13.6569286311456</v>
          </cell>
          <cell r="J4">
            <v>13.4098782222233</v>
          </cell>
        </row>
        <row r="5">
          <cell r="B5" t="str">
            <v>CO2_R</v>
          </cell>
          <cell r="C5" t="str">
            <v>VAR_fout</v>
          </cell>
          <cell r="D5" t="str">
            <v>RHNS-SHNGAHP</v>
          </cell>
          <cell r="I5">
            <v>22.105427932577999</v>
          </cell>
          <cell r="J5">
            <v>27.444652211229499</v>
          </cell>
          <cell r="K5">
            <v>36.209645829587998</v>
          </cell>
        </row>
        <row r="6">
          <cell r="B6" t="str">
            <v>CO2_R</v>
          </cell>
          <cell r="C6" t="str">
            <v>VAR_fout</v>
          </cell>
          <cell r="D6" t="str">
            <v>RHNS-CHPGFC</v>
          </cell>
          <cell r="I6">
            <v>7.1854408375363298E-3</v>
          </cell>
          <cell r="J6">
            <v>7.5002830925762001E-3</v>
          </cell>
          <cell r="K6">
            <v>6.3743716259469802E-3</v>
          </cell>
        </row>
        <row r="7">
          <cell r="B7" t="str">
            <v>CO2_R</v>
          </cell>
          <cell r="C7" t="str">
            <v>VAR_fout</v>
          </cell>
          <cell r="D7" t="str">
            <v>RHES-CHPNGA</v>
          </cell>
          <cell r="I7">
            <v>0.91398388368760197</v>
          </cell>
          <cell r="J7">
            <v>0.31561177110410199</v>
          </cell>
          <cell r="K7">
            <v>4.5479671743363002E-2</v>
          </cell>
        </row>
        <row r="8">
          <cell r="B8" t="str">
            <v>CO2_R</v>
          </cell>
          <cell r="C8" t="str">
            <v>VAR_fout</v>
          </cell>
          <cell r="D8" t="str">
            <v>RHEM-CHPGFC</v>
          </cell>
          <cell r="I8">
            <v>4.4702659668050801E-2</v>
          </cell>
          <cell r="J8">
            <v>6.5444566166362794E-2</v>
          </cell>
          <cell r="K8">
            <v>4.8673573983675299E-2</v>
          </cell>
        </row>
        <row r="9">
          <cell r="B9" t="str">
            <v>CO2_R</v>
          </cell>
          <cell r="C9" t="str">
            <v>VAR_fout</v>
          </cell>
          <cell r="D9" t="str">
            <v>RHEM-SHNGABR</v>
          </cell>
          <cell r="I9">
            <v>886.29505784892501</v>
          </cell>
          <cell r="J9">
            <v>665.84750605342799</v>
          </cell>
          <cell r="K9">
            <v>293.40016732716799</v>
          </cell>
        </row>
        <row r="10">
          <cell r="B10" t="str">
            <v>CO2_R</v>
          </cell>
          <cell r="C10" t="str">
            <v>VAR_fout</v>
          </cell>
          <cell r="D10" t="str">
            <v>RHSA-WHNGAHP</v>
          </cell>
          <cell r="I10">
            <v>81.184611238116403</v>
          </cell>
          <cell r="J10">
            <v>100.612078699251</v>
          </cell>
          <cell r="K10">
            <v>135.903036731935</v>
          </cell>
        </row>
        <row r="11">
          <cell r="B11" t="str">
            <v>CO2_R</v>
          </cell>
          <cell r="C11" t="str">
            <v>VAR_fout</v>
          </cell>
          <cell r="D11" t="str">
            <v>RHEM-SHLFOBR</v>
          </cell>
          <cell r="I11">
            <v>873.80735560864105</v>
          </cell>
          <cell r="J11">
            <v>661.727631060666</v>
          </cell>
          <cell r="K11">
            <v>221.32245515513699</v>
          </cell>
        </row>
        <row r="12">
          <cell r="B12" t="str">
            <v>CO2_R</v>
          </cell>
          <cell r="C12" t="str">
            <v>VAR_fout</v>
          </cell>
          <cell r="D12" t="str">
            <v>RHES-SHNGAHP</v>
          </cell>
          <cell r="I12">
            <v>154.79624732702001</v>
          </cell>
          <cell r="J12">
            <v>177.79105222054699</v>
          </cell>
          <cell r="K12">
            <v>217.431840647961</v>
          </cell>
        </row>
        <row r="13">
          <cell r="B13" t="str">
            <v>CO2_R</v>
          </cell>
          <cell r="C13" t="str">
            <v>VAR_fout</v>
          </cell>
          <cell r="D13" t="str">
            <v>RHNS-SHNGABR</v>
          </cell>
          <cell r="I13">
            <v>8.4728850431298603</v>
          </cell>
          <cell r="J13">
            <v>9.6986258177742499</v>
          </cell>
          <cell r="K13">
            <v>10.3296150021608</v>
          </cell>
        </row>
        <row r="14">
          <cell r="B14" t="str">
            <v>CO2_R</v>
          </cell>
          <cell r="C14" t="str">
            <v>VAR_fout</v>
          </cell>
          <cell r="D14" t="str">
            <v>RHNS-SHLFOBR</v>
          </cell>
          <cell r="I14">
            <v>5.7171284850943804</v>
          </cell>
          <cell r="J14">
            <v>5.6739011851382504</v>
          </cell>
        </row>
        <row r="15">
          <cell r="B15" t="str">
            <v>CO2_R</v>
          </cell>
          <cell r="C15" t="str">
            <v>VAR_fout</v>
          </cell>
          <cell r="D15" t="str">
            <v>RHES-CHPGFC</v>
          </cell>
          <cell r="I15">
            <v>7.0817063148001496E-3</v>
          </cell>
          <cell r="J15">
            <v>7.2186818478725302E-3</v>
          </cell>
          <cell r="K15">
            <v>6.3997738709318597E-3</v>
          </cell>
        </row>
        <row r="16">
          <cell r="B16" t="str">
            <v>CO2_R</v>
          </cell>
          <cell r="C16" t="str">
            <v>VAR_fout</v>
          </cell>
          <cell r="D16" t="str">
            <v>RHNM-CHPNGA</v>
          </cell>
          <cell r="I16">
            <v>112.92564670175</v>
          </cell>
          <cell r="J16">
            <v>164.44301396741301</v>
          </cell>
          <cell r="K16">
            <v>86.256537804920399</v>
          </cell>
        </row>
        <row r="17">
          <cell r="B17" t="str">
            <v>CO2_R</v>
          </cell>
          <cell r="C17" t="str">
            <v>VAR_fout</v>
          </cell>
          <cell r="D17" t="str">
            <v>RHNM-SHNGAHP</v>
          </cell>
          <cell r="I17">
            <v>29.002091157688</v>
          </cell>
          <cell r="J17">
            <v>36.113887302347798</v>
          </cell>
          <cell r="K17">
            <v>48.830333379864598</v>
          </cell>
        </row>
        <row r="18">
          <cell r="B18" t="str">
            <v>CO2_R</v>
          </cell>
          <cell r="C18" t="str">
            <v>VAR_fout</v>
          </cell>
          <cell r="D18" t="str">
            <v>RHES-SHNGABR</v>
          </cell>
          <cell r="I18">
            <v>420.608618774212</v>
          </cell>
          <cell r="J18">
            <v>315.78943111210799</v>
          </cell>
          <cell r="K18">
            <v>144.90838981600899</v>
          </cell>
        </row>
        <row r="19">
          <cell r="B19" t="str">
            <v>CO2_R</v>
          </cell>
          <cell r="C19" t="str">
            <v>VAR_fout</v>
          </cell>
          <cell r="D19" t="str">
            <v>RHSA-WHNGABR</v>
          </cell>
          <cell r="I19">
            <v>364.37246956318899</v>
          </cell>
          <cell r="J19">
            <v>300.69366676397601</v>
          </cell>
          <cell r="K19">
            <v>185.24953790431101</v>
          </cell>
        </row>
        <row r="20">
          <cell r="B20" t="str">
            <v>CO2_R</v>
          </cell>
          <cell r="C20" t="str">
            <v>VAR_fout</v>
          </cell>
          <cell r="D20" t="str">
            <v>RHSA-WHLFOBR</v>
          </cell>
          <cell r="I20">
            <v>302.70271718129698</v>
          </cell>
          <cell r="J20">
            <v>238.24082274329999</v>
          </cell>
          <cell r="K20">
            <v>106.61847220413701</v>
          </cell>
        </row>
        <row r="21">
          <cell r="B21" t="str">
            <v>CO2_R</v>
          </cell>
          <cell r="C21" t="str">
            <v>VAR_fout</v>
          </cell>
          <cell r="D21" t="str">
            <v>RHES-SHLFOBR</v>
          </cell>
          <cell r="I21">
            <v>551.27816969511196</v>
          </cell>
          <cell r="J21">
            <v>386.81002765011698</v>
          </cell>
          <cell r="K21">
            <v>108.330652820193</v>
          </cell>
        </row>
        <row r="22">
          <cell r="B22" t="str">
            <v>CO2_R</v>
          </cell>
          <cell r="C22" t="str">
            <v>VAR_fout</v>
          </cell>
          <cell r="D22" t="str">
            <v>RHNS-CHPNGA</v>
          </cell>
          <cell r="I22">
            <v>0.121987193726373</v>
          </cell>
          <cell r="J22">
            <v>8.9361671731453596E-2</v>
          </cell>
          <cell r="K22">
            <v>4.3525945004322601E-2</v>
          </cell>
        </row>
        <row r="23">
          <cell r="B23" t="str">
            <v>CO2_R</v>
          </cell>
          <cell r="C23" t="str">
            <v>VAR_fout</v>
          </cell>
          <cell r="D23" t="str">
            <v>RHNM-CHPGFC</v>
          </cell>
          <cell r="I23">
            <v>4.4705823511753999E-2</v>
          </cell>
          <cell r="J23">
            <v>6.54384177841804E-2</v>
          </cell>
          <cell r="K23">
            <v>4.8665300115617802E-2</v>
          </cell>
        </row>
        <row r="24">
          <cell r="B24" t="str">
            <v>CO2_R</v>
          </cell>
          <cell r="C24" t="str">
            <v>VAR_fout</v>
          </cell>
          <cell r="D24" t="str">
            <v>RHEM-CHPNGA</v>
          </cell>
          <cell r="I24">
            <v>112.80820280711001</v>
          </cell>
          <cell r="J24">
            <v>164.507778877829</v>
          </cell>
          <cell r="K24">
            <v>86.457973985113497</v>
          </cell>
        </row>
        <row r="25">
          <cell r="B25" t="str">
            <v>CO2_R</v>
          </cell>
          <cell r="C25" t="str">
            <v>VAR_fout</v>
          </cell>
          <cell r="D25" t="str">
            <v>RHES-SHCOABR</v>
          </cell>
          <cell r="I25">
            <v>2.1076302150538E-2</v>
          </cell>
        </row>
        <row r="26">
          <cell r="B26" t="str">
            <v>CO2_R</v>
          </cell>
          <cell r="C26" t="str">
            <v>VAR_fout</v>
          </cell>
          <cell r="D26" t="str">
            <v>RHEM-SHNGAHP</v>
          </cell>
          <cell r="I26">
            <v>161.73230586469799</v>
          </cell>
          <cell r="J26">
            <v>193.27342281288799</v>
          </cell>
          <cell r="K26">
            <v>254.45595686509901</v>
          </cell>
        </row>
        <row r="27">
          <cell r="B27" t="str">
            <v>CO2_R</v>
          </cell>
          <cell r="C27" t="str">
            <v>VAR_fout</v>
          </cell>
          <cell r="D27" t="str">
            <v>RHNM-SHNGABR</v>
          </cell>
          <cell r="I27">
            <v>19.904684995741299</v>
          </cell>
          <cell r="J27">
            <v>21.573855822644902</v>
          </cell>
          <cell r="K27">
            <v>18.010445422940698</v>
          </cell>
        </row>
        <row r="28">
          <cell r="B28" t="str">
            <v>CO2_R</v>
          </cell>
          <cell r="C28" t="str">
            <v>VAR_comnet</v>
          </cell>
          <cell r="D28" t="str">
            <v>-</v>
          </cell>
          <cell r="I28">
            <v>4122.5312718653404</v>
          </cell>
          <cell r="J28">
            <v>3484.2018079146101</v>
          </cell>
          <cell r="K28">
            <v>1953.9141795328801</v>
          </cell>
        </row>
        <row r="29">
          <cell r="B29" t="str">
            <v>CO2_S</v>
          </cell>
          <cell r="C29" t="str">
            <v>VAR_fout</v>
          </cell>
          <cell r="D29" t="str">
            <v>SCOM-SHNGAHP</v>
          </cell>
          <cell r="I29">
            <v>135.43423650763299</v>
          </cell>
          <cell r="J29">
            <v>166.239482420993</v>
          </cell>
          <cell r="K29">
            <v>230.94333396645601</v>
          </cell>
        </row>
        <row r="30">
          <cell r="B30" t="str">
            <v>CO2_S</v>
          </cell>
          <cell r="C30" t="str">
            <v>VAR_fout</v>
          </cell>
          <cell r="D30" t="str">
            <v>SCOM-CHPNGA</v>
          </cell>
          <cell r="I30">
            <v>674.07465324301097</v>
          </cell>
          <cell r="J30">
            <v>633.64427318138803</v>
          </cell>
          <cell r="K30">
            <v>5.00737059838985E-2</v>
          </cell>
        </row>
        <row r="31">
          <cell r="B31" t="str">
            <v>CO2_S</v>
          </cell>
          <cell r="C31" t="str">
            <v>VAR_fout</v>
          </cell>
          <cell r="D31" t="str">
            <v>SCOM-SHNGABR</v>
          </cell>
          <cell r="I31">
            <v>988.36929121285505</v>
          </cell>
          <cell r="J31">
            <v>795.20469919989</v>
          </cell>
          <cell r="K31">
            <v>465.81612106658599</v>
          </cell>
        </row>
        <row r="32">
          <cell r="B32" t="str">
            <v>CO2_S</v>
          </cell>
          <cell r="C32" t="str">
            <v>VAR_fout</v>
          </cell>
          <cell r="D32" t="str">
            <v>SCOM-CHPGFC</v>
          </cell>
          <cell r="I32">
            <v>3.4031428764550599E-2</v>
          </cell>
          <cell r="J32">
            <v>7.5188321107435202E-2</v>
          </cell>
          <cell r="K32">
            <v>4.1703661552175801E-2</v>
          </cell>
        </row>
        <row r="33">
          <cell r="B33" t="str">
            <v>CO2_S</v>
          </cell>
          <cell r="C33" t="str">
            <v>VAR_fout</v>
          </cell>
          <cell r="D33" t="str">
            <v>SCOM-SHLFOBR</v>
          </cell>
          <cell r="I33">
            <v>1120.1626862773601</v>
          </cell>
          <cell r="J33">
            <v>899.84839381887195</v>
          </cell>
          <cell r="K33">
            <v>383.88234178225201</v>
          </cell>
        </row>
        <row r="34">
          <cell r="B34" t="str">
            <v>CO2_S</v>
          </cell>
          <cell r="C34" t="str">
            <v>VAR_comnet</v>
          </cell>
          <cell r="D34" t="str">
            <v>-</v>
          </cell>
          <cell r="I34">
            <v>2918.0748986696199</v>
          </cell>
          <cell r="J34">
            <v>2495.0120369422498</v>
          </cell>
          <cell r="K34">
            <v>1080.7335741828299</v>
          </cell>
        </row>
        <row r="35">
          <cell r="B35" t="str">
            <v>CO2_T</v>
          </cell>
          <cell r="C35" t="str">
            <v>VAR_fout</v>
          </cell>
          <cell r="D35" t="str">
            <v>T_B_u-ICENGAEXT</v>
          </cell>
        </row>
        <row r="36">
          <cell r="B36" t="str">
            <v>CO2_T</v>
          </cell>
          <cell r="C36" t="str">
            <v>VAR_fout</v>
          </cell>
          <cell r="D36" t="str">
            <v>TFHGV-ICENGA</v>
          </cell>
          <cell r="I36">
            <v>3.732650395989618E-2</v>
          </cell>
          <cell r="J36">
            <v>3.6342983184765899E-2</v>
          </cell>
          <cell r="K36">
            <v>3.3983863726198625E-2</v>
          </cell>
        </row>
        <row r="37">
          <cell r="B37" t="str">
            <v>CO2_T</v>
          </cell>
          <cell r="C37" t="str">
            <v>VAR_fout</v>
          </cell>
          <cell r="D37" t="str">
            <v>T-Plg-GSL-mix_S1</v>
          </cell>
          <cell r="I37">
            <v>1.4380289810861771E-2</v>
          </cell>
          <cell r="J37">
            <v>1.0446243695360501E-2</v>
          </cell>
          <cell r="K37">
            <v>4.6086290808741003E-3</v>
          </cell>
        </row>
        <row r="38">
          <cell r="B38" t="str">
            <v>CO2_T</v>
          </cell>
          <cell r="C38" t="str">
            <v>VAR_fout</v>
          </cell>
          <cell r="D38" t="str">
            <v>T-Plg-GSL-mix_S2</v>
          </cell>
          <cell r="I38">
            <v>0.78561215309994403</v>
          </cell>
          <cell r="J38">
            <v>5.0947465027109617E-2</v>
          </cell>
          <cell r="K38">
            <v>2.0936255414668772E-2</v>
          </cell>
        </row>
        <row r="39">
          <cell r="B39" t="str">
            <v>CO2_T</v>
          </cell>
          <cell r="C39" t="str">
            <v>VAR_fout</v>
          </cell>
          <cell r="D39" t="str">
            <v>T-Plg-GSL-mix_S3</v>
          </cell>
          <cell r="I39">
            <v>443.27499222478122</v>
          </cell>
          <cell r="J39">
            <v>289.43644802119962</v>
          </cell>
          <cell r="K39">
            <v>150.67905538692614</v>
          </cell>
        </row>
        <row r="40">
          <cell r="B40" t="str">
            <v>CO2_T</v>
          </cell>
          <cell r="C40" t="str">
            <v>VAR_fout</v>
          </cell>
          <cell r="D40" t="str">
            <v>T-Plg-GSL-mix_S4</v>
          </cell>
          <cell r="I40">
            <v>1.5634136062213448</v>
          </cell>
          <cell r="J40">
            <v>6.0377775177758899E-2</v>
          </cell>
          <cell r="K40">
            <v>2.1411279641547619E-2</v>
          </cell>
        </row>
        <row r="41">
          <cell r="B41" t="str">
            <v>CO2_T</v>
          </cell>
          <cell r="C41" t="str">
            <v>VAR_fout</v>
          </cell>
          <cell r="D41" t="str">
            <v>TFLGV-HYBDSL</v>
          </cell>
          <cell r="I41">
            <v>386.85508010703171</v>
          </cell>
          <cell r="J41">
            <v>224.89288676769715</v>
          </cell>
          <cell r="K41">
            <v>201.62037498392235</v>
          </cell>
        </row>
        <row r="42">
          <cell r="B42" t="str">
            <v>CO2_T</v>
          </cell>
          <cell r="C42" t="str">
            <v>VAR_fout</v>
          </cell>
          <cell r="D42" t="str">
            <v>TFLGV-ICEGSLExt</v>
          </cell>
        </row>
        <row r="43">
          <cell r="B43" t="str">
            <v>CO2_T</v>
          </cell>
          <cell r="C43" t="str">
            <v>VAR_fout</v>
          </cell>
          <cell r="D43" t="str">
            <v>TFLGV-ICEDSLExt</v>
          </cell>
        </row>
        <row r="44">
          <cell r="B44" t="str">
            <v>CO2_T</v>
          </cell>
          <cell r="C44" t="str">
            <v>VAR_fout</v>
          </cell>
          <cell r="D44" t="str">
            <v>T_C-ICE-NGA-S1</v>
          </cell>
          <cell r="I44">
            <v>2.1635593183031978E-3</v>
          </cell>
          <cell r="J44">
            <v>1.247016394525453E-3</v>
          </cell>
          <cell r="K44">
            <v>5.9366649571056902E-4</v>
          </cell>
        </row>
        <row r="45">
          <cell r="B45" t="str">
            <v>CO2_T</v>
          </cell>
          <cell r="C45" t="str">
            <v>VAR_fout</v>
          </cell>
          <cell r="D45" t="str">
            <v>T_C-ICE-NGA-S2</v>
          </cell>
          <cell r="I45">
            <v>3.3592530455433516E-3</v>
          </cell>
          <cell r="J45">
            <v>3.4828577522725696E-3</v>
          </cell>
          <cell r="K45">
            <v>1.7662872425764811E-3</v>
          </cell>
        </row>
        <row r="46">
          <cell r="B46" t="str">
            <v>CO2_T</v>
          </cell>
          <cell r="C46" t="str">
            <v>VAR_fout</v>
          </cell>
          <cell r="D46" t="str">
            <v>TFLGV-ICEDSL</v>
          </cell>
          <cell r="I46">
            <v>8.8251807529288004E-2</v>
          </cell>
          <cell r="J46">
            <v>6.3654382985605565E-2</v>
          </cell>
          <cell r="K46">
            <v>2.3724867153648611E-2</v>
          </cell>
        </row>
        <row r="47">
          <cell r="B47" t="str">
            <v>CO2_T</v>
          </cell>
          <cell r="C47" t="str">
            <v>VAR_fout</v>
          </cell>
          <cell r="D47" t="str">
            <v>T_C-ICE-NGA-S3</v>
          </cell>
          <cell r="I47">
            <v>9.9295719101465257E-3</v>
          </cell>
          <cell r="J47">
            <v>7.7632920624421311E-3</v>
          </cell>
          <cell r="K47">
            <v>4.1149306904707701E-3</v>
          </cell>
        </row>
        <row r="48">
          <cell r="B48" t="str">
            <v>CO2_T</v>
          </cell>
          <cell r="C48" t="str">
            <v>VAR_fout</v>
          </cell>
          <cell r="D48" t="str">
            <v>T_C-ICE-NGA-S4</v>
          </cell>
          <cell r="I48">
            <v>7.041695575911236E-3</v>
          </cell>
          <cell r="J48">
            <v>8.5071013308592007E-3</v>
          </cell>
          <cell r="K48">
            <v>6.22680389406958E-3</v>
          </cell>
        </row>
        <row r="49">
          <cell r="B49" t="str">
            <v>CO2_T</v>
          </cell>
          <cell r="C49" t="str">
            <v>VAR_fout</v>
          </cell>
          <cell r="D49" t="str">
            <v>T_C-MHY-GSL-S1</v>
          </cell>
          <cell r="I49">
            <v>18.240715845179508</v>
          </cell>
          <cell r="J49">
            <v>9.0474645900888024</v>
          </cell>
          <cell r="K49">
            <v>7.3378737204209902E-3</v>
          </cell>
        </row>
        <row r="50">
          <cell r="B50" t="str">
            <v>CO2_T</v>
          </cell>
          <cell r="C50" t="str">
            <v>VAR_fout</v>
          </cell>
          <cell r="D50" t="str">
            <v>T_C-MHY-GSL-S2</v>
          </cell>
          <cell r="I50">
            <v>3.9722808398016715E-2</v>
          </cell>
          <cell r="J50">
            <v>3.1571323186933162E-2</v>
          </cell>
          <cell r="K50">
            <v>1.041075926539026E-2</v>
          </cell>
        </row>
        <row r="51">
          <cell r="B51" t="str">
            <v>CO2_T</v>
          </cell>
          <cell r="C51" t="str">
            <v>VAR_fout</v>
          </cell>
          <cell r="D51" t="str">
            <v>T_C-MHY-DSL-S1</v>
          </cell>
          <cell r="I51">
            <v>14.854616635554631</v>
          </cell>
          <cell r="J51">
            <v>8.4623604683157225</v>
          </cell>
          <cell r="K51">
            <v>0.74900486872737926</v>
          </cell>
        </row>
        <row r="52">
          <cell r="B52" t="str">
            <v>CO2_T</v>
          </cell>
          <cell r="C52" t="str">
            <v>VAR_fout</v>
          </cell>
          <cell r="D52" t="str">
            <v>T_C-MHY-GSL-S3</v>
          </cell>
          <cell r="I52">
            <v>3.9363319057072826E-2</v>
          </cell>
          <cell r="J52">
            <v>3.3485070461594504E-2</v>
          </cell>
          <cell r="K52">
            <v>1.1747201685444641E-2</v>
          </cell>
        </row>
        <row r="53">
          <cell r="B53" t="str">
            <v>CO2_T</v>
          </cell>
          <cell r="C53" t="str">
            <v>VAR_fout</v>
          </cell>
          <cell r="D53" t="str">
            <v>T_C-MHY-DSL-S2</v>
          </cell>
          <cell r="I53">
            <v>5.6714221880057814E-2</v>
          </cell>
          <cell r="J53">
            <v>6.8239283890706215E-2</v>
          </cell>
          <cell r="K53">
            <v>2.6444529160480422E-2</v>
          </cell>
        </row>
        <row r="54">
          <cell r="B54" t="str">
            <v>CO2_T</v>
          </cell>
          <cell r="C54" t="str">
            <v>VAR_fout</v>
          </cell>
          <cell r="D54" t="str">
            <v>T_C-MHY-GSL-S4</v>
          </cell>
          <cell r="I54">
            <v>5.7670087802412837</v>
          </cell>
          <cell r="J54">
            <v>21.615416167389462</v>
          </cell>
          <cell r="K54">
            <v>32.488604205218763</v>
          </cell>
        </row>
        <row r="55">
          <cell r="B55" t="str">
            <v>CO2_T</v>
          </cell>
          <cell r="C55" t="str">
            <v>VAR_fout</v>
          </cell>
          <cell r="D55" t="str">
            <v>T_C-MHY-DSL-S3</v>
          </cell>
          <cell r="I55">
            <v>7.2088396897968032E-2</v>
          </cell>
          <cell r="J55">
            <v>11.257978130574582</v>
          </cell>
          <cell r="K55">
            <v>21.242495243875062</v>
          </cell>
        </row>
        <row r="56">
          <cell r="B56" t="str">
            <v>CO2_T</v>
          </cell>
          <cell r="C56" t="str">
            <v>VAR_fout</v>
          </cell>
          <cell r="D56" t="str">
            <v>T_B_c-HYBDSL-S1</v>
          </cell>
          <cell r="I56">
            <v>1.4843604990515535</v>
          </cell>
          <cell r="J56">
            <v>8.8954778332494389</v>
          </cell>
          <cell r="K56">
            <v>13.245072777134293</v>
          </cell>
        </row>
        <row r="57">
          <cell r="B57" t="str">
            <v>CO2_T</v>
          </cell>
          <cell r="C57" t="str">
            <v>VAR_fout</v>
          </cell>
          <cell r="D57" t="str">
            <v>T_C-MHY-DSL-S4</v>
          </cell>
          <cell r="I57">
            <v>1.6840315310046317E-2</v>
          </cell>
          <cell r="J57">
            <v>2.0151111046872491E-2</v>
          </cell>
          <cell r="K57">
            <v>1.266362592653582E-2</v>
          </cell>
        </row>
        <row r="58">
          <cell r="B58" t="str">
            <v>CO2_T</v>
          </cell>
          <cell r="C58" t="str">
            <v>VAR_fout</v>
          </cell>
          <cell r="D58" t="str">
            <v>T_B_c-HYBDSL-S2</v>
          </cell>
          <cell r="I58">
            <v>18.739530535249056</v>
          </cell>
          <cell r="J58">
            <v>6.7597930882836668</v>
          </cell>
          <cell r="K58">
            <v>1.9313986737467217</v>
          </cell>
        </row>
        <row r="59">
          <cell r="B59" t="str">
            <v>CO2_T</v>
          </cell>
          <cell r="C59" t="str">
            <v>VAR_fout</v>
          </cell>
          <cell r="D59" t="str">
            <v>T_B_c-HYBDSL-S3</v>
          </cell>
          <cell r="I59">
            <v>9.9420565020175502</v>
          </cell>
          <cell r="J59">
            <v>9.1386330769653004</v>
          </cell>
          <cell r="K59">
            <v>2.3271590186411029</v>
          </cell>
        </row>
        <row r="60">
          <cell r="B60" t="str">
            <v>CO2_T</v>
          </cell>
          <cell r="C60" t="str">
            <v>VAR_fout</v>
          </cell>
          <cell r="D60" t="str">
            <v>TFHGV-ICEDSLExt</v>
          </cell>
        </row>
        <row r="61">
          <cell r="B61" t="str">
            <v>CO2_T</v>
          </cell>
          <cell r="C61" t="str">
            <v>VAR_fout</v>
          </cell>
          <cell r="D61" t="str">
            <v>TPSHPGSLEXT</v>
          </cell>
          <cell r="I61">
            <v>0.422285697640994</v>
          </cell>
          <cell r="J61">
            <v>0.14805545393035999</v>
          </cell>
        </row>
        <row r="62">
          <cell r="B62" t="str">
            <v>CO2_T</v>
          </cell>
          <cell r="C62" t="str">
            <v>VAR_fout</v>
          </cell>
          <cell r="D62" t="str">
            <v>T_TW-ICEGSL-S1</v>
          </cell>
          <cell r="I62">
            <v>63.061347810930769</v>
          </cell>
          <cell r="J62">
            <v>66.200550134672483</v>
          </cell>
          <cell r="K62">
            <v>65.110900086770627</v>
          </cell>
        </row>
        <row r="63">
          <cell r="B63" t="str">
            <v>CO2_T</v>
          </cell>
          <cell r="C63" t="str">
            <v>VAR_fout</v>
          </cell>
          <cell r="D63" t="str">
            <v>TPSHPDSLEXT</v>
          </cell>
          <cell r="I63">
            <v>1190.9406915997099</v>
          </cell>
          <cell r="J63">
            <v>593.64613310384505</v>
          </cell>
          <cell r="K63">
            <v>149.745112670167</v>
          </cell>
        </row>
        <row r="64">
          <cell r="B64" t="str">
            <v>CO2_T</v>
          </cell>
          <cell r="C64" t="str">
            <v>VAR_fout</v>
          </cell>
          <cell r="D64" t="str">
            <v>T_TW-ICEGSL-S2</v>
          </cell>
          <cell r="I64">
            <v>0.6982380843688325</v>
          </cell>
          <cell r="J64">
            <v>6.5621554951020098E-3</v>
          </cell>
          <cell r="K64">
            <v>3.9492171913811996E-3</v>
          </cell>
        </row>
        <row r="65">
          <cell r="B65" t="str">
            <v>CO2_T</v>
          </cell>
          <cell r="C65" t="str">
            <v>VAR_fout</v>
          </cell>
          <cell r="D65" t="str">
            <v>T_TW-ICEGSL-S3</v>
          </cell>
          <cell r="I65">
            <v>13.841973402699454</v>
          </cell>
          <cell r="J65">
            <v>3.3483485897636651</v>
          </cell>
          <cell r="K65">
            <v>3.472002790492138E-3</v>
          </cell>
        </row>
        <row r="66">
          <cell r="B66" t="str">
            <v>CO2_T</v>
          </cell>
          <cell r="C66" t="str">
            <v>VAR_fout</v>
          </cell>
          <cell r="D66" t="str">
            <v>T_C-ICEGSLEXT</v>
          </cell>
        </row>
        <row r="67">
          <cell r="B67" t="str">
            <v>CO2_T</v>
          </cell>
          <cell r="C67" t="str">
            <v>VAR_fout</v>
          </cell>
          <cell r="D67" t="str">
            <v>T_TW-ICEGSL-S4</v>
          </cell>
          <cell r="I67">
            <v>9.2660442332360002</v>
          </cell>
          <cell r="J67">
            <v>8.3906231090801366</v>
          </cell>
          <cell r="K67">
            <v>0.50074498961542213</v>
          </cell>
        </row>
        <row r="68">
          <cell r="B68" t="str">
            <v>CO2_T</v>
          </cell>
          <cell r="C68" t="str">
            <v>VAR_fout</v>
          </cell>
          <cell r="D68" t="str">
            <v>T_C-ICEDSLEXT</v>
          </cell>
        </row>
        <row r="69">
          <cell r="B69" t="str">
            <v>CO2_T</v>
          </cell>
          <cell r="C69" t="str">
            <v>VAR_fout</v>
          </cell>
          <cell r="D69" t="str">
            <v>T_TW-ICEGSLEXT</v>
          </cell>
        </row>
        <row r="70">
          <cell r="B70" t="str">
            <v>CO2_T</v>
          </cell>
          <cell r="C70" t="str">
            <v>VAR_fout</v>
          </cell>
          <cell r="D70" t="str">
            <v>TFLGV-ICENGA</v>
          </cell>
          <cell r="I70">
            <v>5.4337279337267948E-3</v>
          </cell>
          <cell r="J70">
            <v>5.3042892093296268E-3</v>
          </cell>
          <cell r="K70">
            <v>4.9524429466504842E-3</v>
          </cell>
        </row>
        <row r="71">
          <cell r="B71" t="str">
            <v>CO2_T</v>
          </cell>
          <cell r="C71" t="str">
            <v>VAR_fout</v>
          </cell>
          <cell r="D71" t="str">
            <v>T_B_c-ICENGA-S1</v>
          </cell>
        </row>
        <row r="72">
          <cell r="B72" t="str">
            <v>CO2_T</v>
          </cell>
          <cell r="C72" t="str">
            <v>VAR_fout</v>
          </cell>
          <cell r="D72" t="str">
            <v>T_B_c-ICENGA-S2</v>
          </cell>
        </row>
        <row r="73">
          <cell r="B73" t="str">
            <v>CO2_T</v>
          </cell>
          <cell r="C73" t="str">
            <v>VAR_fout</v>
          </cell>
          <cell r="D73" t="str">
            <v>T_B_u-ICEDSL-S1</v>
          </cell>
        </row>
        <row r="74">
          <cell r="B74" t="str">
            <v>CO2_T</v>
          </cell>
          <cell r="C74" t="str">
            <v>VAR_fout</v>
          </cell>
          <cell r="D74" t="str">
            <v>T_B_c-ICENGA-S3</v>
          </cell>
        </row>
        <row r="75">
          <cell r="B75" t="str">
            <v>CO2_T</v>
          </cell>
          <cell r="C75" t="str">
            <v>VAR_fout</v>
          </cell>
          <cell r="D75" t="str">
            <v>T_B_u-ICEDSL-S2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I81">
            <v>185.675788544743</v>
          </cell>
          <cell r="J81">
            <v>154.38211110512901</v>
          </cell>
          <cell r="K81">
            <v>123.088433665514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I82">
            <v>110.53287253916127</v>
          </cell>
          <cell r="J82">
            <v>37.616976927042572</v>
          </cell>
          <cell r="K82">
            <v>6.3216596680323502E-3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I83">
            <v>146.39767728172779</v>
          </cell>
          <cell r="J83">
            <v>85.241791845649587</v>
          </cell>
          <cell r="K83">
            <v>85.274002957378528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I84">
            <v>55.568801923158787</v>
          </cell>
          <cell r="J84">
            <v>5.9510763988578859</v>
          </cell>
          <cell r="K84">
            <v>1.323581936636843E-2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I85">
            <v>2.0919155715948979E-2</v>
          </cell>
          <cell r="J85">
            <v>1.0519495458659506E-2</v>
          </cell>
          <cell r="K85">
            <v>3.6066244863988762E-3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I86">
            <v>83.891270264620431</v>
          </cell>
          <cell r="J86">
            <v>8.8084041805655691</v>
          </cell>
          <cell r="K86">
            <v>1.7460676187763861E-2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I87">
            <v>1.4992538445869996</v>
          </cell>
          <cell r="J87">
            <v>1.5326451372637995E-2</v>
          </cell>
          <cell r="K87">
            <v>5.7837115771419492E-3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I88">
            <v>913.99288029644038</v>
          </cell>
          <cell r="J88">
            <v>1273.7831508349416</v>
          </cell>
          <cell r="K88">
            <v>1044.710476274724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I89">
            <v>10.130443835839623</v>
          </cell>
          <cell r="J89">
            <v>1.70281472752285E-2</v>
          </cell>
          <cell r="K89">
            <v>7.0854789142621409E-3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I90">
            <v>5.636129542651271</v>
          </cell>
          <cell r="J90">
            <v>9.9667044501072811E-3</v>
          </cell>
          <cell r="K90">
            <v>4.74839508358067E-3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I92">
            <v>1.2327412841457016E-2</v>
          </cell>
          <cell r="J92">
            <v>1.75281735368387E-2</v>
          </cell>
          <cell r="K92">
            <v>24.050155690172691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I93">
            <v>1.2093381111529621E-2</v>
          </cell>
          <cell r="J93">
            <v>1.5338487253786996E-2</v>
          </cell>
          <cell r="K93">
            <v>1.3060464108546249E-2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I94">
            <v>82.770015825838101</v>
          </cell>
          <cell r="J94">
            <v>93.4506812615911</v>
          </cell>
          <cell r="K94">
            <v>36.704465220298999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I95">
            <v>86.567656613010698</v>
          </cell>
          <cell r="J95">
            <v>132.41894981799487</v>
          </cell>
          <cell r="K95">
            <v>124.30016973421949</v>
          </cell>
        </row>
        <row r="96">
          <cell r="B96" t="str">
            <v>CO2_T</v>
          </cell>
          <cell r="C96" t="str">
            <v>VAR_fout</v>
          </cell>
          <cell r="D96" t="str">
            <v>TFRLFDSLEXT</v>
          </cell>
        </row>
        <row r="97">
          <cell r="B97" t="str">
            <v>CO2_T</v>
          </cell>
          <cell r="C97" t="str">
            <v>VAR_fout</v>
          </cell>
          <cell r="D97" t="str">
            <v>T_C-HY-GSL-S2</v>
          </cell>
          <cell r="I97">
            <v>30.921697432859133</v>
          </cell>
          <cell r="J97">
            <v>4.7397951831073026</v>
          </cell>
          <cell r="K97">
            <v>0.68895744138082793</v>
          </cell>
        </row>
        <row r="98">
          <cell r="B98" t="str">
            <v>CO2_T</v>
          </cell>
          <cell r="C98" t="str">
            <v>VAR_fout</v>
          </cell>
          <cell r="D98" t="str">
            <v>T_C-HY-DSL-S1</v>
          </cell>
          <cell r="I98">
            <v>3.3776835384306216</v>
          </cell>
          <cell r="J98">
            <v>16.787147942561973</v>
          </cell>
          <cell r="K98">
            <v>8.7568341534722602</v>
          </cell>
        </row>
        <row r="99">
          <cell r="B99" t="str">
            <v>CO2_T</v>
          </cell>
          <cell r="C99" t="str">
            <v>VAR_fout</v>
          </cell>
          <cell r="D99" t="str">
            <v>T_C-HY-GSL-S3</v>
          </cell>
          <cell r="I99">
            <v>22.239123167845371</v>
          </cell>
          <cell r="J99">
            <v>1.5869159203293303E-2</v>
          </cell>
          <cell r="K99">
            <v>8.7711725516521899E-3</v>
          </cell>
        </row>
        <row r="100">
          <cell r="B100" t="str">
            <v>CO2_T</v>
          </cell>
          <cell r="C100" t="str">
            <v>VAR_fout</v>
          </cell>
          <cell r="D100" t="str">
            <v>T_C-HY-DSL-S2</v>
          </cell>
          <cell r="I100">
            <v>142.9693215104443</v>
          </cell>
          <cell r="J100">
            <v>92.971940429181672</v>
          </cell>
          <cell r="K100">
            <v>101.49573249933908</v>
          </cell>
        </row>
        <row r="101">
          <cell r="B101" t="str">
            <v>CO2_T</v>
          </cell>
          <cell r="C101" t="str">
            <v>VAR_fout</v>
          </cell>
          <cell r="D101" t="str">
            <v>T_C-HY-GSL-S4</v>
          </cell>
          <cell r="I101">
            <v>1.1585853748043198</v>
          </cell>
          <cell r="J101">
            <v>2.1368143460350278E-2</v>
          </cell>
          <cell r="K101">
            <v>2.5807664550717521E-2</v>
          </cell>
        </row>
        <row r="102">
          <cell r="B102" t="str">
            <v>CO2_T</v>
          </cell>
          <cell r="C102" t="str">
            <v>VAR_fout</v>
          </cell>
          <cell r="D102" t="str">
            <v>T_C-HY-DSL-S3</v>
          </cell>
          <cell r="I102">
            <v>0.45249030521349148</v>
          </cell>
          <cell r="J102">
            <v>1.5816932234555933E-2</v>
          </cell>
          <cell r="K102">
            <v>9.0110615351333308E-3</v>
          </cell>
        </row>
        <row r="103">
          <cell r="B103" t="str">
            <v>CO2_T</v>
          </cell>
          <cell r="C103" t="str">
            <v>VAR_fout</v>
          </cell>
          <cell r="D103" t="str">
            <v>T_C-HY-DSL-S4</v>
          </cell>
          <cell r="I103">
            <v>0.9097091469227564</v>
          </cell>
          <cell r="J103">
            <v>2.1806270779620048E-2</v>
          </cell>
          <cell r="K103">
            <v>2.758183686893417E-2</v>
          </cell>
        </row>
        <row r="104">
          <cell r="B104" t="str">
            <v>CO2_T</v>
          </cell>
          <cell r="C104" t="str">
            <v>VAR_fout</v>
          </cell>
          <cell r="D104" t="str">
            <v>TFHGV-HYBDSL</v>
          </cell>
          <cell r="I104">
            <v>1081.0812377189879</v>
          </cell>
          <cell r="J104">
            <v>1125.8897887450801</v>
          </cell>
          <cell r="K104">
            <v>1216.4895727285439</v>
          </cell>
        </row>
        <row r="105">
          <cell r="B105" t="str">
            <v>CO2_T</v>
          </cell>
          <cell r="C105" t="str">
            <v>VAR_fout</v>
          </cell>
          <cell r="D105" t="str">
            <v>TFHGV-ICEDSL</v>
          </cell>
          <cell r="I105">
            <v>1.9717932870937288E-2</v>
          </cell>
          <cell r="J105">
            <v>2.8162723253621902E-2</v>
          </cell>
          <cell r="K105">
            <v>8.8748508978113705E-3</v>
          </cell>
        </row>
        <row r="106">
          <cell r="B106" t="str">
            <v>CO2_T</v>
          </cell>
          <cell r="C106" t="str">
            <v>VAR_fout</v>
          </cell>
          <cell r="D106" t="str">
            <v>T-Plg-DSL-mix_S1</v>
          </cell>
          <cell r="I106">
            <v>1.4371321240755181E-2</v>
          </cell>
          <cell r="J106">
            <v>1.0235451307226182E-2</v>
          </cell>
          <cell r="K106">
            <v>4.5559707127974195E-3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T-Plg-DSL-mix_S2</v>
          </cell>
          <cell r="I107">
            <v>6.2162076346682429E-2</v>
          </cell>
          <cell r="J107">
            <v>5.5316468144867313E-2</v>
          </cell>
          <cell r="K107">
            <v>2.164120633072417E-2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T-Plg-DSL-mix_S3</v>
          </cell>
          <cell r="I108">
            <v>697.38773791874496</v>
          </cell>
          <cell r="J108">
            <v>601.53793321948956</v>
          </cell>
          <cell r="K108">
            <v>294.5613498873152</v>
          </cell>
        </row>
        <row r="109">
          <cell r="B109" t="str">
            <v>CO2_T</v>
          </cell>
          <cell r="C109" t="str">
            <v>VAR_fout</v>
          </cell>
          <cell r="D109" t="str">
            <v>T_B_c-ICEDSL-S1</v>
          </cell>
        </row>
        <row r="110">
          <cell r="B110" t="str">
            <v>CO2_T</v>
          </cell>
          <cell r="C110" t="str">
            <v>VAR_fout</v>
          </cell>
          <cell r="D110" t="str">
            <v>T-Plg-DSL-mix_S4</v>
          </cell>
          <cell r="I110">
            <v>0.1942993907032711</v>
          </cell>
          <cell r="J110">
            <v>6.3586316114822738E-2</v>
          </cell>
          <cell r="K110">
            <v>2.1743844827529842E-2</v>
          </cell>
        </row>
        <row r="111">
          <cell r="B111" t="str">
            <v>CO2_T</v>
          </cell>
          <cell r="C111" t="str">
            <v>VAR_fout</v>
          </cell>
          <cell r="D111" t="str">
            <v>T_B_c-ICEDSL-S2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T_B_c-ICEDSL-S3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T_B_c-ICEDSL-S4</v>
          </cell>
        </row>
        <row r="114">
          <cell r="B114" t="str">
            <v>CO2_T</v>
          </cell>
          <cell r="C114" t="str">
            <v>VAR_fout</v>
          </cell>
          <cell r="D114" t="str">
            <v>T_B_u-ICENGA-S1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T_B_u-ICENGA-S2</v>
          </cell>
        </row>
        <row r="116">
          <cell r="B116" t="str">
            <v>CO2_T</v>
          </cell>
          <cell r="C116" t="str">
            <v>VAR_fout</v>
          </cell>
          <cell r="D116" t="str">
            <v>T_B_c-ICEDSLEXT</v>
          </cell>
        </row>
        <row r="117">
          <cell r="B117" t="str">
            <v>CO2_T</v>
          </cell>
          <cell r="C117" t="str">
            <v>VAR_fout</v>
          </cell>
          <cell r="D117" t="str">
            <v>T_B_u-ICENGA-S3</v>
          </cell>
        </row>
        <row r="118">
          <cell r="B118" t="str">
            <v>CO2_T</v>
          </cell>
          <cell r="C118" t="str">
            <v>VAR_comnet</v>
          </cell>
          <cell r="D118" t="str">
            <v>-</v>
          </cell>
          <cell r="I118">
            <v>5843.6268504845002</v>
          </cell>
          <cell r="J118">
            <v>4895.5458677010001</v>
          </cell>
          <cell r="K118">
            <v>3700.1577078308001</v>
          </cell>
        </row>
        <row r="119">
          <cell r="B119" t="str">
            <v>CO2</v>
          </cell>
          <cell r="C119" t="str">
            <v>VAR_fout</v>
          </cell>
          <cell r="D119" t="str">
            <v>othGHG</v>
          </cell>
          <cell r="I119">
            <v>7354.6848308235003</v>
          </cell>
          <cell r="J119">
            <v>7477.2959810860702</v>
          </cell>
          <cell r="K119">
            <v>7773.5832277922</v>
          </cell>
        </row>
        <row r="120">
          <cell r="B120" t="str">
            <v>CO2</v>
          </cell>
          <cell r="C120" t="str">
            <v>VAR_fout</v>
          </cell>
          <cell r="D120" t="str">
            <v>D-ICOA</v>
          </cell>
          <cell r="I120">
            <v>1.70234886371468E-2</v>
          </cell>
          <cell r="J120">
            <v>7.0420240147582398E-3</v>
          </cell>
          <cell r="K120">
            <v>2.6216065075619001E-2</v>
          </cell>
        </row>
        <row r="121">
          <cell r="B121" t="str">
            <v>CO2</v>
          </cell>
          <cell r="C121" t="str">
            <v>VAR_fout</v>
          </cell>
          <cell r="D121" t="str">
            <v>D-ENGA</v>
          </cell>
          <cell r="I121">
            <v>155.60066578712201</v>
          </cell>
          <cell r="J121">
            <v>180.554599914666</v>
          </cell>
          <cell r="K121">
            <v>710.64764493176096</v>
          </cell>
        </row>
        <row r="122">
          <cell r="B122" t="str">
            <v>CO2</v>
          </cell>
          <cell r="C122" t="str">
            <v>VAR_fout</v>
          </cell>
          <cell r="D122" t="str">
            <v>D-ILFO</v>
          </cell>
          <cell r="I122">
            <v>431.732480603189</v>
          </cell>
          <cell r="J122">
            <v>266.45775755813497</v>
          </cell>
          <cell r="K122">
            <v>25.4445442518094</v>
          </cell>
        </row>
        <row r="123">
          <cell r="B123" t="str">
            <v>CO2</v>
          </cell>
          <cell r="C123" t="str">
            <v>VAR_fout</v>
          </cell>
          <cell r="D123" t="str">
            <v>D-TDSL</v>
          </cell>
          <cell r="I123">
            <v>3555.1171915365398</v>
          </cell>
          <cell r="J123">
            <v>2721.4743823351801</v>
          </cell>
          <cell r="K123">
            <v>2008.7950045066</v>
          </cell>
        </row>
        <row r="124">
          <cell r="B124" t="str">
            <v>CO2</v>
          </cell>
          <cell r="C124" t="str">
            <v>VAR_fout</v>
          </cell>
          <cell r="D124" t="str">
            <v>ITOT-PROCESSCO2</v>
          </cell>
          <cell r="I124">
            <v>2085.53495476948</v>
          </cell>
          <cell r="J124">
            <v>2077.4128471263102</v>
          </cell>
          <cell r="K124">
            <v>2063.74855625499</v>
          </cell>
        </row>
        <row r="125">
          <cell r="B125" t="str">
            <v>CO2</v>
          </cell>
          <cell r="C125" t="str">
            <v>VAR_fout</v>
          </cell>
          <cell r="D125" t="str">
            <v>D-ELFO</v>
          </cell>
          <cell r="I125">
            <v>0.15806340723360501</v>
          </cell>
          <cell r="J125">
            <v>0.102551856652629</v>
          </cell>
          <cell r="K125">
            <v>0.209937673695647</v>
          </cell>
        </row>
        <row r="126">
          <cell r="B126" t="str">
            <v>CO2</v>
          </cell>
          <cell r="C126" t="str">
            <v>VAR_fout</v>
          </cell>
          <cell r="D126" t="str">
            <v>D-TNGA</v>
          </cell>
          <cell r="I126">
            <v>6.3359819128634906E-2</v>
          </cell>
          <cell r="J126">
            <v>6.3862211215095901E-2</v>
          </cell>
          <cell r="K126">
            <v>5.1652541540113298E-2</v>
          </cell>
        </row>
        <row r="127">
          <cell r="B127" t="str">
            <v>CO2</v>
          </cell>
          <cell r="C127" t="str">
            <v>VAR_fout</v>
          </cell>
          <cell r="D127" t="str">
            <v>D-SNGA</v>
          </cell>
          <cell r="I127">
            <v>1803.6444100897399</v>
          </cell>
          <cell r="J127">
            <v>1600.25803571559</v>
          </cell>
          <cell r="K127">
            <v>699.07539701906899</v>
          </cell>
        </row>
        <row r="128">
          <cell r="B128" t="str">
            <v>CO2</v>
          </cell>
          <cell r="C128" t="str">
            <v>VAR_fout</v>
          </cell>
          <cell r="D128" t="str">
            <v>CO2compabroad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I129">
            <v>2382.92314669793</v>
          </cell>
          <cell r="J129">
            <v>2185.2956780280001</v>
          </cell>
          <cell r="K129">
            <v>1522.4874510222801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I130">
            <v>1.50263068178061E-2</v>
          </cell>
          <cell r="J130">
            <v>7.0849694855384003E-3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I131">
            <v>1139.1831497641899</v>
          </cell>
          <cell r="J131">
            <v>915.13020285499499</v>
          </cell>
          <cell r="K131">
            <v>390.40117163068498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I132">
            <v>2.1076302150538E-2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I133">
            <v>1776.8315804434401</v>
          </cell>
          <cell r="J133">
            <v>1328.0398190306801</v>
          </cell>
          <cell r="K133">
            <v>443.679863187416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I134">
            <v>1921.7670893350401</v>
          </cell>
          <cell r="J134">
            <v>1867.7058095678001</v>
          </cell>
          <cell r="K134">
            <v>1442.78513611222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I135">
            <v>1001.75484112187</v>
          </cell>
          <cell r="J135">
            <v>996.69827131535806</v>
          </cell>
          <cell r="K135">
            <v>986.58513914025502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I136">
            <v>117.007942778089</v>
          </cell>
          <cell r="J136">
            <v>50.7489271170272</v>
          </cell>
          <cell r="K136">
            <v>3.0017999018065099E-4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I137">
            <v>1487.74726553243</v>
          </cell>
          <cell r="J137">
            <v>1493.83936592382</v>
          </cell>
          <cell r="K137">
            <v>1366.9506093330799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I138">
            <v>2240.45295779258</v>
          </cell>
          <cell r="J138">
            <v>2266.09853313444</v>
          </cell>
          <cell r="K138">
            <v>2317.3896202974001</v>
          </cell>
        </row>
        <row r="139">
          <cell r="B139" t="str">
            <v>CO2</v>
          </cell>
          <cell r="C139" t="str">
            <v>VAR_comnet</v>
          </cell>
          <cell r="D139" t="str">
            <v>-</v>
          </cell>
        </row>
        <row r="140">
          <cell r="B140" t="str">
            <v>CO2</v>
          </cell>
          <cell r="C140" t="str">
            <v>EQ_combalM</v>
          </cell>
          <cell r="D140" t="str">
            <v>-</v>
          </cell>
        </row>
        <row r="141">
          <cell r="B141" t="str">
            <v>CO2_SECTOR</v>
          </cell>
          <cell r="C141" t="str">
            <v>VAR_fout</v>
          </cell>
          <cell r="D141" t="str">
            <v>CO2_IND</v>
          </cell>
          <cell r="I141">
            <v>5006.8015918224246</v>
          </cell>
          <cell r="J141">
            <v>4834.4223689171213</v>
          </cell>
          <cell r="K141">
            <v>4442.7550650452049</v>
          </cell>
        </row>
        <row r="142">
          <cell r="B142" t="str">
            <v>CO2_SECTOR</v>
          </cell>
          <cell r="C142" t="str">
            <v>VAR_fout</v>
          </cell>
          <cell r="D142" t="str">
            <v>CO2_RES</v>
          </cell>
          <cell r="I142">
            <v>4159.7758034435174</v>
          </cell>
          <cell r="J142">
            <v>3513.3354970586824</v>
          </cell>
          <cell r="K142">
            <v>1966.1673142096945</v>
          </cell>
        </row>
        <row r="143">
          <cell r="B143" t="str">
            <v>CO2_SECTOR</v>
          </cell>
          <cell r="C143" t="str">
            <v>VAR_fout</v>
          </cell>
          <cell r="D143" t="str">
            <v>CO2_TRA</v>
          </cell>
          <cell r="I143">
            <v>5592.2360294192058</v>
          </cell>
          <cell r="J143">
            <v>4639.2471763569702</v>
          </cell>
          <cell r="K143">
            <v>3451.6320980869114</v>
          </cell>
        </row>
        <row r="144">
          <cell r="B144" t="str">
            <v>CO2_SECTOR</v>
          </cell>
          <cell r="C144" t="str">
            <v>VAR_fout</v>
          </cell>
          <cell r="D144" t="str">
            <v>CO2_ELC</v>
          </cell>
          <cell r="I144">
            <v>2396.2116869869378</v>
          </cell>
          <cell r="J144">
            <v>2446.7556849057587</v>
          </cell>
          <cell r="K144">
            <v>3028.2472029028522</v>
          </cell>
        </row>
        <row r="145">
          <cell r="B145" t="str">
            <v>CO2_SECTOR</v>
          </cell>
          <cell r="C145" t="str">
            <v>VAR_fout</v>
          </cell>
          <cell r="D145" t="str">
            <v>CO2_SER</v>
          </cell>
          <cell r="I145">
            <v>2942.8275598539244</v>
          </cell>
          <cell r="J145">
            <v>2515.3882385705815</v>
          </cell>
          <cell r="K145">
            <v>1089.4765686497533</v>
          </cell>
        </row>
        <row r="146">
          <cell r="B146" t="str">
            <v>CO2_SECTOR</v>
          </cell>
          <cell r="C146" t="str">
            <v>VAR_fout</v>
          </cell>
          <cell r="D146" t="str">
            <v>CO2_ELCCCS</v>
          </cell>
          <cell r="I146">
            <v>2396.2116869869378</v>
          </cell>
          <cell r="J146">
            <v>2446.7556849057587</v>
          </cell>
          <cell r="K146">
            <v>3028.2472029028522</v>
          </cell>
        </row>
        <row r="147">
          <cell r="B147" t="str">
            <v>CO2_SECTOR</v>
          </cell>
          <cell r="C147" t="str">
            <v>VAR_fout</v>
          </cell>
          <cell r="D147" t="str">
            <v>CO2_INDCCS</v>
          </cell>
          <cell r="I147">
            <v>5006.8015918224246</v>
          </cell>
          <cell r="J147">
            <v>4834.4223689171213</v>
          </cell>
          <cell r="K147">
            <v>4442.7550650452049</v>
          </cell>
        </row>
        <row r="148">
          <cell r="B148" t="str">
            <v>CO2_SECTOR</v>
          </cell>
          <cell r="C148" t="str">
            <v>VAR_comnet</v>
          </cell>
          <cell r="D148" t="str">
            <v>-</v>
          </cell>
          <cell r="I148">
            <v>27500.865950335367</v>
          </cell>
          <cell r="J148">
            <v>25230.327019632005</v>
          </cell>
          <cell r="K148">
            <v>21449.280516842478</v>
          </cell>
        </row>
        <row r="149">
          <cell r="B149" t="str">
            <v>CO2SC</v>
          </cell>
          <cell r="C149" t="str">
            <v>VAR_fout</v>
          </cell>
          <cell r="D149" t="str">
            <v>CO2S1</v>
          </cell>
          <cell r="I149">
            <v>6307.1990227535098</v>
          </cell>
          <cell r="J149">
            <v>6307.1990227535098</v>
          </cell>
          <cell r="K149">
            <v>6307.1990227535098</v>
          </cell>
        </row>
        <row r="150">
          <cell r="B150" t="str">
            <v>CO2P</v>
          </cell>
          <cell r="C150" t="str">
            <v>VAR_fout</v>
          </cell>
          <cell r="D150" t="str">
            <v>ITOT-PROCESSCO2</v>
          </cell>
          <cell r="I150">
            <v>2085.53495476948</v>
          </cell>
          <cell r="J150">
            <v>2077.4128471263102</v>
          </cell>
          <cell r="K150">
            <v>2063.74855625499</v>
          </cell>
        </row>
        <row r="151">
          <cell r="B151" t="str">
            <v>CO2P</v>
          </cell>
          <cell r="C151" t="str">
            <v>VAR_comnet</v>
          </cell>
          <cell r="D151" t="str">
            <v>-</v>
          </cell>
          <cell r="I151">
            <v>2085.53495476948</v>
          </cell>
          <cell r="J151">
            <v>2077.4128471263102</v>
          </cell>
          <cell r="K151">
            <v>2063.74855625499</v>
          </cell>
        </row>
        <row r="152">
          <cell r="B152" t="str">
            <v>CO2_E</v>
          </cell>
          <cell r="C152" t="str">
            <v>VAR_fout</v>
          </cell>
          <cell r="D152" t="str">
            <v>ENGA-CCS</v>
          </cell>
          <cell r="J152">
            <v>1.19079296828711E-3</v>
          </cell>
          <cell r="K152">
            <v>3.6902358319869199E-3</v>
          </cell>
        </row>
        <row r="153">
          <cell r="B153" t="str">
            <v>CO2_E</v>
          </cell>
          <cell r="C153" t="str">
            <v>VAR_fout</v>
          </cell>
          <cell r="D153" t="str">
            <v>HPLNGA</v>
          </cell>
          <cell r="I153">
            <v>158.782334494157</v>
          </cell>
          <cell r="J153">
            <v>183.08991597817999</v>
          </cell>
          <cell r="K153">
            <v>104.008215533388</v>
          </cell>
        </row>
        <row r="154">
          <cell r="B154" t="str">
            <v>CO2_E</v>
          </cell>
          <cell r="C154" t="str">
            <v>VAR_fout</v>
          </cell>
          <cell r="D154" t="str">
            <v>CHPWST</v>
          </cell>
          <cell r="I154">
            <v>2535.93178276257</v>
          </cell>
          <cell r="J154">
            <v>2541.4881408328802</v>
          </cell>
          <cell r="K154">
            <v>2549.24684753768</v>
          </cell>
        </row>
        <row r="155">
          <cell r="B155" t="str">
            <v>CO2_E</v>
          </cell>
          <cell r="C155" t="str">
            <v>VAR_fout</v>
          </cell>
          <cell r="D155" t="str">
            <v>CHPNGA</v>
          </cell>
          <cell r="I155">
            <v>0.35599500618241597</v>
          </cell>
          <cell r="J155">
            <v>0.15420068254484001</v>
          </cell>
          <cell r="K155">
            <v>0.29955287839351202</v>
          </cell>
        </row>
        <row r="156">
          <cell r="B156" t="str">
            <v>CO2_E</v>
          </cell>
          <cell r="C156" t="str">
            <v>VAR_fout</v>
          </cell>
          <cell r="D156" t="str">
            <v>EWSTINC</v>
          </cell>
          <cell r="I156">
            <v>1944.9744754117401</v>
          </cell>
          <cell r="J156">
            <v>1990.7091217141101</v>
          </cell>
          <cell r="K156">
            <v>2085.5325044020401</v>
          </cell>
        </row>
        <row r="157">
          <cell r="B157" t="str">
            <v>CO2_E</v>
          </cell>
          <cell r="C157" t="str">
            <v>VAR_fout</v>
          </cell>
          <cell r="D157" t="str">
            <v>ENGA-GTCC</v>
          </cell>
          <cell r="J157">
            <v>5.8003186054648402E-2</v>
          </cell>
          <cell r="K157">
            <v>532.16400119205696</v>
          </cell>
        </row>
        <row r="158">
          <cell r="B158" t="str">
            <v>CO2_E</v>
          </cell>
          <cell r="C158" t="str">
            <v>VAR_fout</v>
          </cell>
          <cell r="D158" t="str">
            <v>HPLOIL</v>
          </cell>
          <cell r="I158">
            <v>4.4828296580253597E-3</v>
          </cell>
          <cell r="J158">
            <v>7.2812102846317303E-3</v>
          </cell>
          <cell r="K158">
            <v>3.4570608060411701E-3</v>
          </cell>
        </row>
        <row r="159">
          <cell r="B159" t="str">
            <v>CO2_E</v>
          </cell>
          <cell r="C159" t="str">
            <v>VAR_fout</v>
          </cell>
          <cell r="D159" t="str">
            <v>CHPGFC</v>
          </cell>
          <cell r="J159">
            <v>0.771507791899116</v>
          </cell>
          <cell r="K159">
            <v>75.832687406523902</v>
          </cell>
        </row>
        <row r="160">
          <cell r="B160" t="str">
            <v>CO2_E</v>
          </cell>
          <cell r="C160" t="str">
            <v>VAR_fout</v>
          </cell>
          <cell r="D160" t="str">
            <v>EOIL-ENG</v>
          </cell>
          <cell r="I160">
            <v>6.37449953161843E-2</v>
          </cell>
          <cell r="J160">
            <v>3.84454539913082E-2</v>
          </cell>
          <cell r="K160">
            <v>0.115299314202502</v>
          </cell>
        </row>
        <row r="161">
          <cell r="B161" t="str">
            <v>CO2_E</v>
          </cell>
          <cell r="C161" t="str">
            <v>VAR_fout</v>
          </cell>
          <cell r="D161" t="str">
            <v>ENGA-GTOC</v>
          </cell>
          <cell r="I161">
            <v>9.9725710353933794E-2</v>
          </cell>
          <cell r="J161">
            <v>3.7808565277709698E-2</v>
          </cell>
          <cell r="K161">
            <v>0.209818740179394</v>
          </cell>
        </row>
        <row r="162">
          <cell r="B162" t="str">
            <v>CO2_E</v>
          </cell>
          <cell r="C162" t="str">
            <v>VAR_fout</v>
          </cell>
          <cell r="D162" t="str">
            <v>CHPOIL</v>
          </cell>
          <cell r="I162">
            <v>8.8557996212983894E-2</v>
          </cell>
          <cell r="J162">
            <v>5.6012917836597897E-2</v>
          </cell>
          <cell r="K162">
            <v>8.86442778120555E-2</v>
          </cell>
        </row>
        <row r="163">
          <cell r="B163" t="str">
            <v>CO2_E</v>
          </cell>
          <cell r="C163" t="str">
            <v>VAR_comnet</v>
          </cell>
          <cell r="D163" t="str">
            <v>-</v>
          </cell>
          <cell r="I163">
            <v>4640.30109920619</v>
          </cell>
          <cell r="J163">
            <v>4716.4116291260298</v>
          </cell>
          <cell r="K163">
            <v>5347.5047185789199</v>
          </cell>
        </row>
        <row r="164">
          <cell r="B164" t="str">
            <v>CO2_I</v>
          </cell>
          <cell r="C164" t="str">
            <v>VAR_fout</v>
          </cell>
          <cell r="D164" t="str">
            <v>ITOT-CHPNGA</v>
          </cell>
          <cell r="I164">
            <v>86.269414245284494</v>
          </cell>
          <cell r="J164">
            <v>15.174706376404099</v>
          </cell>
          <cell r="K164">
            <v>3.9714897845981398</v>
          </cell>
        </row>
        <row r="165">
          <cell r="B165" t="str">
            <v>CO2_I</v>
          </cell>
          <cell r="C165" t="str">
            <v>VAR_fout</v>
          </cell>
          <cell r="D165" t="str">
            <v>ITOT-SWHNGABR</v>
          </cell>
          <cell r="I165">
            <v>1570.36019650341</v>
          </cell>
          <cell r="J165">
            <v>1647.9988814379201</v>
          </cell>
          <cell r="K165">
            <v>1532.6772307301401</v>
          </cell>
        </row>
        <row r="166">
          <cell r="B166" t="str">
            <v>CO2_I</v>
          </cell>
          <cell r="C166" t="str">
            <v>VAR_fout</v>
          </cell>
          <cell r="D166" t="str">
            <v>ITOT-SWHLFOBR</v>
          </cell>
          <cell r="I166">
            <v>376.64387050611202</v>
          </cell>
          <cell r="J166">
            <v>257.41437922661999</v>
          </cell>
          <cell r="K166">
            <v>19.490392344651099</v>
          </cell>
        </row>
        <row r="167">
          <cell r="B167" t="str">
            <v>CO2_I</v>
          </cell>
          <cell r="C167" t="str">
            <v>VAR_fout</v>
          </cell>
          <cell r="D167" t="str">
            <v>ITOT-CHPNGACCS</v>
          </cell>
          <cell r="J167">
            <v>1.10183138661087E-3</v>
          </cell>
          <cell r="K167">
            <v>2.3364101077896298E-3</v>
          </cell>
        </row>
        <row r="168">
          <cell r="B168" t="str">
            <v>CO2_I</v>
          </cell>
          <cell r="C168" t="str">
            <v>VAR_fout</v>
          </cell>
          <cell r="D168" t="str">
            <v>ITOT-CHPGFC</v>
          </cell>
          <cell r="I168">
            <v>2.30634220844834E-2</v>
          </cell>
          <cell r="J168">
            <v>1.92369373509108E-2</v>
          </cell>
          <cell r="K168">
            <v>3.5891092514865303E-2</v>
          </cell>
        </row>
        <row r="169">
          <cell r="B169" t="str">
            <v>CO2_I</v>
          </cell>
          <cell r="C169" t="str">
            <v>VAR_fout</v>
          </cell>
          <cell r="D169" t="str">
            <v>ITOT-SWHCOABR</v>
          </cell>
          <cell r="I169">
            <v>1.70234886371468E-2</v>
          </cell>
          <cell r="J169">
            <v>7.0420240147582398E-3</v>
          </cell>
          <cell r="K169">
            <v>2.6216065075619001E-2</v>
          </cell>
        </row>
        <row r="170">
          <cell r="B170" t="str">
            <v>CO2_I</v>
          </cell>
          <cell r="C170" t="str">
            <v>VAR_fout</v>
          </cell>
          <cell r="D170" t="str">
            <v>ITOT-CHPOIL</v>
          </cell>
          <cell r="I170">
            <v>47.890941701084401</v>
          </cell>
          <cell r="J170">
            <v>4.6061712099834997</v>
          </cell>
          <cell r="K170">
            <v>5.54179435397005</v>
          </cell>
        </row>
        <row r="171">
          <cell r="B171" t="str">
            <v>CO2_I</v>
          </cell>
          <cell r="C171" t="str">
            <v>VAR_fout</v>
          </cell>
          <cell r="D171" t="str">
            <v>ITOT-SWHWSTBR</v>
          </cell>
          <cell r="I171">
            <v>1001.36044194467</v>
          </cell>
          <cell r="J171">
            <v>996.54348874799302</v>
          </cell>
          <cell r="K171">
            <v>986.43988470903901</v>
          </cell>
        </row>
        <row r="172">
          <cell r="B172" t="str">
            <v>CO2_I</v>
          </cell>
          <cell r="C172" t="str">
            <v>VAR_fout</v>
          </cell>
          <cell r="D172" t="str">
            <v>ITOT-SWHNGAHP</v>
          </cell>
          <cell r="I172">
            <v>0.59860051306644602</v>
          </cell>
          <cell r="J172">
            <v>0.13015307488613601</v>
          </cell>
          <cell r="K172">
            <v>0.12551109592813101</v>
          </cell>
        </row>
        <row r="173">
          <cell r="B173" t="str">
            <v>CO2_I</v>
          </cell>
          <cell r="C173" t="str">
            <v>VAR_fout</v>
          </cell>
          <cell r="D173" t="str">
            <v>ITOT-CHPWST</v>
          </cell>
          <cell r="I173">
            <v>0.396048427631295</v>
          </cell>
          <cell r="J173">
            <v>0.156433348902727</v>
          </cell>
          <cell r="K173">
            <v>0.14767433689800899</v>
          </cell>
        </row>
        <row r="174">
          <cell r="B174" t="str">
            <v>CO2_I</v>
          </cell>
          <cell r="C174" t="str">
            <v>VAR_fout</v>
          </cell>
          <cell r="D174" t="str">
            <v>ITOT-SWHHFOBR</v>
          </cell>
          <cell r="I174">
            <v>1.47753499823598E-2</v>
          </cell>
          <cell r="J174">
            <v>6.9666422383389704E-3</v>
          </cell>
        </row>
        <row r="175">
          <cell r="B175" t="str">
            <v>CO2_I</v>
          </cell>
          <cell r="C175" t="str">
            <v>VAR_comnet</v>
          </cell>
          <cell r="D175" t="str">
            <v>-</v>
          </cell>
          <cell r="I175">
            <v>3083.5743761019598</v>
          </cell>
          <cell r="J175">
            <v>2922.0585608576998</v>
          </cell>
          <cell r="K175">
            <v>2548.4584209229201</v>
          </cell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1.24554124550181E-7</v>
          </cell>
          <cell r="J4">
            <v>1.4510052290000801E-7</v>
          </cell>
          <cell r="K4">
            <v>1.5304327469597199E-5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3.2629697138725101E-6</v>
          </cell>
          <cell r="K5">
            <v>1.1483389284124699E-8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2.9559831221022198E-7</v>
          </cell>
          <cell r="J6">
            <v>1.2145501228904299E-7</v>
          </cell>
          <cell r="K6">
            <v>1.7057547991345001E-7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8.4540169158853404E-7</v>
          </cell>
          <cell r="J7">
            <v>9.0342559608032998E-8</v>
          </cell>
          <cell r="K7">
            <v>6.1012710172632897E-8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1.18946763351182E-7</v>
          </cell>
          <cell r="J8">
            <v>1.7757218352640501E-7</v>
          </cell>
          <cell r="K8">
            <v>3.9150447016463498E-7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1.5731861011364899E-4</v>
          </cell>
          <cell r="K9">
            <v>1.4406542467688101E-7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0.116853926606914</v>
          </cell>
          <cell r="J10">
            <v>1.7779923987800698E-2</v>
          </cell>
          <cell r="K10">
            <v>7.0722843857581902E-2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1.0240804114477E-7</v>
          </cell>
          <cell r="J11">
            <v>1.9607368122086201E-7</v>
          </cell>
          <cell r="K11">
            <v>5.0025109068985502E-5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9.0802405101596904E-3</v>
          </cell>
          <cell r="J12">
            <v>5.0275557739597299E-2</v>
          </cell>
          <cell r="K12">
            <v>4.61842742307896E-2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2.46701927863095E-8</v>
          </cell>
          <cell r="J13">
            <v>2.5014908073450601E-8</v>
          </cell>
          <cell r="K13">
            <v>6.1341510848200295E-8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2.0770741661784299E-8</v>
          </cell>
          <cell r="J14">
            <v>2.3325798550285501E-8</v>
          </cell>
          <cell r="K14">
            <v>5.2220580433910203E-8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1.55375823619247E-6</v>
          </cell>
          <cell r="J15">
            <v>2.3037441801557499E-5</v>
          </cell>
          <cell r="K15">
            <v>2.2530012005786001E-6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3.5450647993901099E-7</v>
          </cell>
          <cell r="J16">
            <v>1.3279069077493001E-7</v>
          </cell>
          <cell r="K16">
            <v>1.01088439341329E-7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8.9716542707566801E-7</v>
          </cell>
          <cell r="J17">
            <v>6.88233953125247E-5</v>
          </cell>
          <cell r="K17">
            <v>6.1578020782246101E-8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3.28897315171786E-8</v>
          </cell>
          <cell r="J18">
            <v>4.6723945953841202E-8</v>
          </cell>
          <cell r="K18">
            <v>1.03688564287008E-7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8.5579800358646495E-7</v>
          </cell>
          <cell r="J19">
            <v>7.86057348107079E-2</v>
          </cell>
          <cell r="K19">
            <v>8.3804886102164203E-2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1.8600135513771799E-8</v>
          </cell>
          <cell r="J20">
            <v>2.65359014397869E-8</v>
          </cell>
          <cell r="K20">
            <v>6.2963462165374097E-7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1.2814144703102901E-6</v>
          </cell>
          <cell r="J21">
            <v>1.0408011825654101E-6</v>
          </cell>
          <cell r="K21">
            <v>1.17537152836633E-6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5.2720073798798002E-5</v>
          </cell>
          <cell r="K22">
            <v>3.0760714094086201E-5</v>
          </cell>
        </row>
        <row r="23">
          <cell r="A23" t="str">
            <v>-</v>
          </cell>
          <cell r="B23" t="str">
            <v>VAR_ncap</v>
          </cell>
          <cell r="C23" t="str">
            <v>SUP_ELCH2</v>
          </cell>
          <cell r="I23">
            <v>4.22443324800665E-5</v>
          </cell>
          <cell r="J23">
            <v>3.1103396318558002E-4</v>
          </cell>
          <cell r="K23">
            <v>2.45125045270355E-2</v>
          </cell>
        </row>
        <row r="24">
          <cell r="A24" t="str">
            <v>-</v>
          </cell>
          <cell r="B24" t="str">
            <v>VAR_ncap</v>
          </cell>
          <cell r="C24" t="str">
            <v>CT_CWODBDS</v>
          </cell>
          <cell r="I24">
            <v>2.6920405085682002E-7</v>
          </cell>
          <cell r="J24">
            <v>2.6268699511334501E-7</v>
          </cell>
          <cell r="K24">
            <v>7.2964258788245695E-2</v>
          </cell>
        </row>
        <row r="25">
          <cell r="A25" t="str">
            <v>-</v>
          </cell>
          <cell r="B25" t="str">
            <v>VAR_ncap</v>
          </cell>
          <cell r="C25" t="str">
            <v>CT_CWODPLT</v>
          </cell>
          <cell r="I25">
            <v>7.49029239534031E-7</v>
          </cell>
          <cell r="J25">
            <v>0.12451426727153</v>
          </cell>
          <cell r="K25">
            <v>0.107983878283837</v>
          </cell>
        </row>
        <row r="26">
          <cell r="A26" t="str">
            <v>-</v>
          </cell>
          <cell r="B26" t="str">
            <v>VAR_ncap</v>
          </cell>
          <cell r="C26" t="str">
            <v>D-DH2</v>
          </cell>
          <cell r="I26">
            <v>6.4919252989518699E-6</v>
          </cell>
          <cell r="J26">
            <v>3.04357155223654E-5</v>
          </cell>
          <cell r="K26">
            <v>8.7042901062835101E-7</v>
          </cell>
        </row>
        <row r="27">
          <cell r="A27" t="str">
            <v>-</v>
          </cell>
          <cell r="B27" t="str">
            <v>VAR_ncap</v>
          </cell>
          <cell r="C27" t="str">
            <v>CT_CWODETH</v>
          </cell>
          <cell r="I27">
            <v>1.02623919830132E-7</v>
          </cell>
          <cell r="J27">
            <v>8.9816763223417797E-7</v>
          </cell>
          <cell r="K27">
            <v>2.4024913459862599E-6</v>
          </cell>
        </row>
        <row r="28">
          <cell r="A28" t="str">
            <v>-</v>
          </cell>
          <cell r="B28" t="str">
            <v>VAR_ncap</v>
          </cell>
          <cell r="C28" t="str">
            <v>D-INGA</v>
          </cell>
          <cell r="I28">
            <v>1.6498340613317799E-7</v>
          </cell>
          <cell r="J28">
            <v>3.1791772463721598E-7</v>
          </cell>
          <cell r="K28">
            <v>5.59558668992126E-2</v>
          </cell>
        </row>
        <row r="29">
          <cell r="A29" t="str">
            <v>-</v>
          </cell>
          <cell r="B29" t="str">
            <v>VAR_ncap</v>
          </cell>
          <cell r="C29" t="str">
            <v>SUP_H2DSL</v>
          </cell>
          <cell r="I29">
            <v>3.4312466565063999E-7</v>
          </cell>
          <cell r="J29">
            <v>1.43618899526591E-7</v>
          </cell>
          <cell r="K29">
            <v>1.48795674976357E-7</v>
          </cell>
        </row>
        <row r="30">
          <cell r="A30" t="str">
            <v>-</v>
          </cell>
          <cell r="B30" t="str">
            <v>VAR_cap</v>
          </cell>
          <cell r="C30" t="str">
            <v>SUP_NGAH2</v>
          </cell>
          <cell r="I30">
            <v>1.1605811502838489E-7</v>
          </cell>
          <cell r="J30">
            <v>9.2380411605008972E-8</v>
          </cell>
          <cell r="K30">
            <v>1.5506284863333473E-5</v>
          </cell>
        </row>
        <row r="31">
          <cell r="A31" t="str">
            <v>-</v>
          </cell>
          <cell r="B31" t="str">
            <v>VAR_cap</v>
          </cell>
          <cell r="C31" t="str">
            <v>SUP_WSTHTGBIO</v>
          </cell>
          <cell r="J31">
            <v>3.2629697138725101E-6</v>
          </cell>
          <cell r="K31">
            <v>3.2614812059671938E-6</v>
          </cell>
        </row>
        <row r="32">
          <cell r="A32" t="str">
            <v>-</v>
          </cell>
          <cell r="B32" t="str">
            <v>VAR_cap</v>
          </cell>
          <cell r="C32" t="str">
            <v>STG-H2</v>
          </cell>
          <cell r="I32">
            <v>5.69096802670295E-7</v>
          </cell>
          <cell r="J32">
            <v>6.3894216335529537E-7</v>
          </cell>
          <cell r="K32">
            <v>5.2058650015440276E-7</v>
          </cell>
        </row>
        <row r="33">
          <cell r="A33" t="str">
            <v>-</v>
          </cell>
          <cell r="B33" t="str">
            <v>VAR_cap</v>
          </cell>
          <cell r="C33" t="str">
            <v>SUP_H2NGA</v>
          </cell>
          <cell r="I33">
            <v>9.3403251660723133E-7</v>
          </cell>
          <cell r="J33">
            <v>8.1733888553436706E-7</v>
          </cell>
          <cell r="K33">
            <v>3.2018685950971404E-7</v>
          </cell>
        </row>
        <row r="34">
          <cell r="A34" t="str">
            <v>-</v>
          </cell>
          <cell r="B34" t="str">
            <v>VAR_cap</v>
          </cell>
          <cell r="C34" t="str">
            <v>D-ENGA</v>
          </cell>
          <cell r="I34">
            <v>1.0275124356152157</v>
          </cell>
          <cell r="J34">
            <v>1.0275126131873993</v>
          </cell>
          <cell r="K34">
            <v>0.72467769146564942</v>
          </cell>
        </row>
        <row r="35">
          <cell r="A35" t="str">
            <v>-</v>
          </cell>
          <cell r="B35" t="str">
            <v>VAR_cap</v>
          </cell>
          <cell r="C35" t="str">
            <v>D-CHEAT</v>
          </cell>
          <cell r="J35">
            <v>1.5731861011364899E-4</v>
          </cell>
          <cell r="K35">
            <v>1.5746267553832599E-4</v>
          </cell>
        </row>
        <row r="36">
          <cell r="A36" t="str">
            <v>-</v>
          </cell>
          <cell r="B36" t="str">
            <v>VAR_cap</v>
          </cell>
          <cell r="C36" t="str">
            <v>SUP_WSTBIO</v>
          </cell>
          <cell r="I36">
            <v>0.2187799028517651</v>
          </cell>
          <cell r="J36">
            <v>0.21270571674586988</v>
          </cell>
          <cell r="K36">
            <v>0.20056229029020525</v>
          </cell>
        </row>
        <row r="37">
          <cell r="A37" t="str">
            <v>-</v>
          </cell>
          <cell r="B37" t="str">
            <v>VAR_cap</v>
          </cell>
          <cell r="C37" t="str">
            <v>D-CNGA</v>
          </cell>
          <cell r="I37">
            <v>3.0681775277673402E-7</v>
          </cell>
          <cell r="J37">
            <v>5.0289143399759595E-7</v>
          </cell>
          <cell r="K37">
            <v>5.05280005029831E-5</v>
          </cell>
        </row>
        <row r="38">
          <cell r="A38" t="str">
            <v>-</v>
          </cell>
          <cell r="B38" t="str">
            <v>VAR_cap</v>
          </cell>
          <cell r="C38" t="str">
            <v>SUP_BIONGA</v>
          </cell>
          <cell r="I38">
            <v>0.10370088871493219</v>
          </cell>
          <cell r="J38">
            <v>0.10368737886722589</v>
          </cell>
          <cell r="K38">
            <v>0.10369545698972274</v>
          </cell>
        </row>
        <row r="39">
          <cell r="A39" t="str">
            <v>-</v>
          </cell>
          <cell r="B39" t="str">
            <v>VAR_cap</v>
          </cell>
          <cell r="C39" t="str">
            <v>ESOL-PV_A</v>
          </cell>
          <cell r="I39">
            <v>1.5337856191485099E-4</v>
          </cell>
          <cell r="J39">
            <v>1.53402778558746E-4</v>
          </cell>
          <cell r="K39">
            <v>1.22321505332983E-4</v>
          </cell>
        </row>
        <row r="40">
          <cell r="A40" t="str">
            <v>-</v>
          </cell>
          <cell r="B40" t="str">
            <v>VAR_cap</v>
          </cell>
          <cell r="C40" t="str">
            <v>D-TNGA</v>
          </cell>
          <cell r="I40">
            <v>0.95961776969614276</v>
          </cell>
          <cell r="J40">
            <v>0.95961779302194128</v>
          </cell>
          <cell r="K40">
            <v>0.48125350159646568</v>
          </cell>
        </row>
        <row r="41">
          <cell r="A41" t="str">
            <v>-</v>
          </cell>
          <cell r="B41" t="str">
            <v>VAR_cap</v>
          </cell>
          <cell r="C41" t="str">
            <v>SUP_ELCH2_D</v>
          </cell>
          <cell r="I41">
            <v>2.4863879858956501E-6</v>
          </cell>
          <cell r="J41">
            <v>2.5523829787453199E-5</v>
          </cell>
          <cell r="K41">
            <v>2.6771088553191901E-5</v>
          </cell>
        </row>
        <row r="42">
          <cell r="A42" t="str">
            <v>-</v>
          </cell>
          <cell r="B42" t="str">
            <v>VAR_cap</v>
          </cell>
          <cell r="C42" t="str">
            <v>SUP_H2GSL</v>
          </cell>
          <cell r="I42">
            <v>3.8558567498099082E-7</v>
          </cell>
          <cell r="J42">
            <v>2.9705115308022003E-7</v>
          </cell>
          <cell r="K42">
            <v>1.1538950749968998E-7</v>
          </cell>
        </row>
        <row r="43">
          <cell r="A43" t="str">
            <v>-</v>
          </cell>
          <cell r="B43" t="str">
            <v>VAR_cap</v>
          </cell>
          <cell r="C43" t="str">
            <v>ESOL-PV_E</v>
          </cell>
          <cell r="I43">
            <v>9.7535952811046893E-7</v>
          </cell>
          <cell r="J43">
            <v>6.97987548406352E-5</v>
          </cell>
          <cell r="K43">
            <v>6.9860332861417396E-5</v>
          </cell>
        </row>
        <row r="44">
          <cell r="A44" t="str">
            <v>-</v>
          </cell>
          <cell r="B44" t="str">
            <v>VAR_cap</v>
          </cell>
          <cell r="C44" t="str">
            <v>D-SNGA</v>
          </cell>
          <cell r="I44">
            <v>2.2350523351882314</v>
          </cell>
          <cell r="J44">
            <v>2.2350523819121775</v>
          </cell>
          <cell r="K44">
            <v>1.1208907864644615</v>
          </cell>
        </row>
        <row r="45">
          <cell r="A45" t="str">
            <v>-</v>
          </cell>
          <cell r="B45" t="str">
            <v>VAR_cap</v>
          </cell>
          <cell r="C45" t="str">
            <v>SUP_MNRBIO</v>
          </cell>
          <cell r="I45">
            <v>0.16239917886323826</v>
          </cell>
          <cell r="J45">
            <v>0.16241139591009196</v>
          </cell>
          <cell r="K45">
            <v>0.16241131606394946</v>
          </cell>
        </row>
        <row r="46">
          <cell r="A46" t="str">
            <v>-</v>
          </cell>
          <cell r="B46" t="str">
            <v>VAR_cap</v>
          </cell>
          <cell r="C46" t="str">
            <v>D-RNGA</v>
          </cell>
          <cell r="I46">
            <v>3.097240100412074</v>
          </cell>
          <cell r="J46">
            <v>3.0972401269479755</v>
          </cell>
          <cell r="K46">
            <v>1.553282997222897</v>
          </cell>
        </row>
        <row r="47">
          <cell r="A47" t="str">
            <v>-</v>
          </cell>
          <cell r="B47" t="str">
            <v>VAR_cap</v>
          </cell>
          <cell r="C47" t="str">
            <v>SUP_WODBIO</v>
          </cell>
          <cell r="I47">
            <v>5.3770507101979515E-6</v>
          </cell>
          <cell r="J47">
            <v>4.4713429415519933E-6</v>
          </cell>
          <cell r="K47">
            <v>3.2166428354742968E-6</v>
          </cell>
        </row>
        <row r="48">
          <cell r="A48" t="str">
            <v>-</v>
          </cell>
          <cell r="B48" t="str">
            <v>VAR_cap</v>
          </cell>
          <cell r="C48" t="str">
            <v>SUP_ELCH2_SOEC</v>
          </cell>
          <cell r="J48">
            <v>5.2720073798798002E-5</v>
          </cell>
          <cell r="K48">
            <v>4.8796404304006756E-5</v>
          </cell>
        </row>
        <row r="49">
          <cell r="A49" t="str">
            <v>-</v>
          </cell>
          <cell r="B49" t="str">
            <v>VAR_cap</v>
          </cell>
          <cell r="C49" t="str">
            <v>SUP_ELCH2</v>
          </cell>
          <cell r="I49">
            <v>3.204516266321287E-4</v>
          </cell>
          <cell r="J49">
            <v>4.6608963586265153E-4</v>
          </cell>
          <cell r="K49">
            <v>2.4857153980140215E-2</v>
          </cell>
        </row>
        <row r="50">
          <cell r="A50" t="str">
            <v>-</v>
          </cell>
          <cell r="B50" t="str">
            <v>VAR_cap</v>
          </cell>
          <cell r="C50" t="str">
            <v>CT_CWODBDS</v>
          </cell>
          <cell r="I50">
            <v>4.5105088347773686E-6</v>
          </cell>
          <cell r="J50">
            <v>3.9261381140468464E-6</v>
          </cell>
          <cell r="K50">
            <v>7.2964713355623129E-2</v>
          </cell>
        </row>
        <row r="51">
          <cell r="A51" t="str">
            <v>-</v>
          </cell>
          <cell r="B51" t="str">
            <v>VAR_cap</v>
          </cell>
          <cell r="C51" t="str">
            <v>CT_CWODPLT</v>
          </cell>
          <cell r="I51">
            <v>0.17000943948900321</v>
          </cell>
          <cell r="J51">
            <v>0.1932910970938391</v>
          </cell>
          <cell r="K51">
            <v>0.23249860220198804</v>
          </cell>
        </row>
        <row r="52">
          <cell r="A52" t="str">
            <v>-</v>
          </cell>
          <cell r="B52" t="str">
            <v>VAR_cap</v>
          </cell>
          <cell r="C52" t="str">
            <v>D-DH2</v>
          </cell>
          <cell r="I52">
            <v>1.19320833748911E-5</v>
          </cell>
          <cell r="J52">
            <v>4.2367798897256498E-5</v>
          </cell>
          <cell r="K52">
            <v>4.32382279078848E-5</v>
          </cell>
        </row>
        <row r="53">
          <cell r="A53" t="str">
            <v>-</v>
          </cell>
          <cell r="B53" t="str">
            <v>VAR_cap</v>
          </cell>
          <cell r="C53" t="str">
            <v>CT_CWODETH</v>
          </cell>
          <cell r="I53">
            <v>5.047487138760097E-6</v>
          </cell>
          <cell r="J53">
            <v>2.7190370283799135E-6</v>
          </cell>
          <cell r="K53">
            <v>3.3502478768504771E-6</v>
          </cell>
        </row>
        <row r="54">
          <cell r="A54" t="str">
            <v>-</v>
          </cell>
          <cell r="B54" t="str">
            <v>VAR_cap</v>
          </cell>
          <cell r="C54" t="str">
            <v>D-INGA</v>
          </cell>
          <cell r="I54">
            <v>1.9844838184858717</v>
          </cell>
          <cell r="J54">
            <v>1.9844841364035963</v>
          </cell>
          <cell r="K54">
            <v>1.1514160704826288</v>
          </cell>
        </row>
        <row r="55">
          <cell r="A55" t="str">
            <v>-</v>
          </cell>
          <cell r="B55" t="str">
            <v>VAR_cap</v>
          </cell>
          <cell r="C55" t="str">
            <v>SUP_H2DSL</v>
          </cell>
          <cell r="I55">
            <v>3.6792967402234682E-7</v>
          </cell>
          <cell r="J55">
            <v>2.4775066364903497E-7</v>
          </cell>
          <cell r="K55">
            <v>1.9386547618308699E-7</v>
          </cell>
        </row>
        <row r="56">
          <cell r="A56" t="str">
            <v>ELC35</v>
          </cell>
          <cell r="B56" t="str">
            <v>VAR_fout</v>
          </cell>
          <cell r="C56" t="str">
            <v>SUP_WSTBIO</v>
          </cell>
          <cell r="I56">
            <v>0.11582464200615063</v>
          </cell>
          <cell r="J56">
            <v>0.11260895096395032</v>
          </cell>
          <cell r="K56">
            <v>0.10618007908087655</v>
          </cell>
        </row>
        <row r="57">
          <cell r="A57" t="str">
            <v>ELC35</v>
          </cell>
          <cell r="B57" t="str">
            <v>VAR_fout</v>
          </cell>
          <cell r="C57" t="str">
            <v>ESOL-PV_A</v>
          </cell>
          <cell r="I57">
            <v>9.9070308512939627E-4</v>
          </cell>
          <cell r="J57">
            <v>9.8917169820446306E-4</v>
          </cell>
          <cell r="K57">
            <v>7.8439032543397051E-4</v>
          </cell>
        </row>
        <row r="58">
          <cell r="A58" t="str">
            <v>ELC35</v>
          </cell>
          <cell r="B58" t="str">
            <v>VAR_fout</v>
          </cell>
          <cell r="C58" t="str">
            <v>SUP_WODBIO</v>
          </cell>
          <cell r="K58">
            <v>1.2055043787867822E-6</v>
          </cell>
        </row>
        <row r="59">
          <cell r="A59" t="str">
            <v>ELC35</v>
          </cell>
          <cell r="B59" t="str">
            <v>VAR_fin</v>
          </cell>
          <cell r="C59" t="str">
            <v>D-CELC</v>
          </cell>
          <cell r="I59">
            <v>6.4685493231275747E-3</v>
          </cell>
          <cell r="J59">
            <v>5.7778765705654911E-3</v>
          </cell>
          <cell r="K59">
            <v>0.32266094093991327</v>
          </cell>
        </row>
        <row r="60">
          <cell r="A60" t="str">
            <v>SCH2S</v>
          </cell>
          <cell r="B60" t="str">
            <v>VAR_fin</v>
          </cell>
          <cell r="C60" t="str">
            <v>SUP_NGAH2</v>
          </cell>
          <cell r="K60">
            <v>1.7071991673636331E-4</v>
          </cell>
        </row>
        <row r="61">
          <cell r="A61" t="str">
            <v>CWST</v>
          </cell>
          <cell r="B61" t="str">
            <v>VAR_fout</v>
          </cell>
          <cell r="C61" t="str">
            <v>D-CWST</v>
          </cell>
          <cell r="I61">
            <v>9.9576099370430597</v>
          </cell>
          <cell r="J61">
            <v>9.6812573278184448</v>
          </cell>
          <cell r="K61">
            <v>9.1285521612121485</v>
          </cell>
        </row>
        <row r="62">
          <cell r="A62" t="str">
            <v>CWST</v>
          </cell>
          <cell r="B62" t="str">
            <v>VAR_fin</v>
          </cell>
          <cell r="C62" t="str">
            <v>SUP_WSTHTGBIO</v>
          </cell>
          <cell r="J62">
            <v>1.1014136344810403E-4</v>
          </cell>
          <cell r="K62">
            <v>1.0439002319837013E-4</v>
          </cell>
        </row>
        <row r="63">
          <cell r="A63" t="str">
            <v>CWST</v>
          </cell>
          <cell r="B63" t="str">
            <v>VAR_fin</v>
          </cell>
          <cell r="C63" t="str">
            <v>SUP_WSTBIO</v>
          </cell>
          <cell r="I63">
            <v>9.9576099370430597</v>
          </cell>
          <cell r="J63">
            <v>9.6811523843007485</v>
          </cell>
          <cell r="K63">
            <v>9.1284530844102161</v>
          </cell>
        </row>
        <row r="64">
          <cell r="A64" t="str">
            <v>NGA</v>
          </cell>
          <cell r="B64" t="str">
            <v>VAR_fout</v>
          </cell>
          <cell r="C64" t="str">
            <v>D-LNGA</v>
          </cell>
          <cell r="I64">
            <v>2.564265765005562E-4</v>
          </cell>
          <cell r="J64">
            <v>5.5546877819678532E-5</v>
          </cell>
          <cell r="K64">
            <v>1.2106807837824582E-4</v>
          </cell>
        </row>
        <row r="65">
          <cell r="A65" t="str">
            <v>NGA</v>
          </cell>
          <cell r="B65" t="str">
            <v>VAR_fin</v>
          </cell>
          <cell r="C65" t="str">
            <v>D-ENGA</v>
          </cell>
          <cell r="I65">
            <v>2.7588770529631543</v>
          </cell>
          <cell r="J65">
            <v>3.2013226935224508</v>
          </cell>
          <cell r="K65">
            <v>12.600135548435484</v>
          </cell>
        </row>
        <row r="66">
          <cell r="A66" t="str">
            <v>NGA</v>
          </cell>
          <cell r="B66" t="str">
            <v>VAR_fin</v>
          </cell>
          <cell r="C66" t="str">
            <v>D-TNGA</v>
          </cell>
          <cell r="I66">
            <v>1.12340104838005E-3</v>
          </cell>
          <cell r="J66">
            <v>1.1323087094875148E-3</v>
          </cell>
          <cell r="K66">
            <v>9.1582520461193687E-4</v>
          </cell>
        </row>
        <row r="67">
          <cell r="A67" t="str">
            <v>NGA</v>
          </cell>
          <cell r="B67" t="str">
            <v>VAR_fin</v>
          </cell>
          <cell r="C67" t="str">
            <v>D-SNGA</v>
          </cell>
          <cell r="I67">
            <v>31.979510817193916</v>
          </cell>
          <cell r="J67">
            <v>28.373369427581327</v>
          </cell>
          <cell r="K67">
            <v>12.394953847855822</v>
          </cell>
        </row>
        <row r="68">
          <cell r="A68" t="str">
            <v>NGA</v>
          </cell>
          <cell r="B68" t="str">
            <v>VAR_fin</v>
          </cell>
          <cell r="C68" t="str">
            <v>D-RNGA</v>
          </cell>
          <cell r="I68">
            <v>42.250410402445574</v>
          </cell>
          <cell r="J68">
            <v>38.746377269999961</v>
          </cell>
          <cell r="K68">
            <v>26.994458351458817</v>
          </cell>
        </row>
        <row r="69">
          <cell r="A69" t="str">
            <v>NGA</v>
          </cell>
          <cell r="B69" t="str">
            <v>VAR_fin</v>
          </cell>
          <cell r="C69" t="str">
            <v>D-INGA</v>
          </cell>
          <cell r="I69">
            <v>26.378497615823321</v>
          </cell>
          <cell r="J69">
            <v>26.486513580209511</v>
          </cell>
          <cell r="K69">
            <v>24.23671293143758</v>
          </cell>
        </row>
        <row r="70">
          <cell r="A70" t="str">
            <v>CO2</v>
          </cell>
          <cell r="B70" t="str">
            <v>VAR_fout</v>
          </cell>
          <cell r="C70" t="str">
            <v>D-ENGA</v>
          </cell>
          <cell r="I70">
            <v>155.60066578712201</v>
          </cell>
          <cell r="J70">
            <v>180.554599914666</v>
          </cell>
          <cell r="K70">
            <v>710.64764493176096</v>
          </cell>
        </row>
        <row r="71">
          <cell r="A71" t="str">
            <v>CO2</v>
          </cell>
          <cell r="B71" t="str">
            <v>VAR_fout</v>
          </cell>
          <cell r="C71" t="str">
            <v>D-ILFO</v>
          </cell>
          <cell r="I71">
            <v>431.732480603189</v>
          </cell>
          <cell r="J71">
            <v>266.45775755813497</v>
          </cell>
          <cell r="K71">
            <v>25.4445442518094</v>
          </cell>
        </row>
        <row r="72">
          <cell r="A72" t="str">
            <v>CO2</v>
          </cell>
          <cell r="B72" t="str">
            <v>VAR_fout</v>
          </cell>
          <cell r="C72" t="str">
            <v>D-TNGA</v>
          </cell>
          <cell r="I72">
            <v>6.3359819128634906E-2</v>
          </cell>
          <cell r="J72">
            <v>6.3862211215095901E-2</v>
          </cell>
          <cell r="K72">
            <v>5.1652541540113298E-2</v>
          </cell>
        </row>
        <row r="73">
          <cell r="A73" t="str">
            <v>CO2</v>
          </cell>
          <cell r="B73" t="str">
            <v>VAR_fout</v>
          </cell>
          <cell r="C73" t="str">
            <v>D-SNGA</v>
          </cell>
          <cell r="I73">
            <v>1803.6444100897399</v>
          </cell>
          <cell r="J73">
            <v>1600.25803571559</v>
          </cell>
          <cell r="K73">
            <v>699.07539701906899</v>
          </cell>
        </row>
        <row r="74">
          <cell r="A74" t="str">
            <v>CO2</v>
          </cell>
          <cell r="B74" t="str">
            <v>VAR_fout</v>
          </cell>
          <cell r="C74" t="str">
            <v>D-RNGA</v>
          </cell>
          <cell r="I74">
            <v>2382.92314669793</v>
          </cell>
          <cell r="J74">
            <v>2185.2956780280001</v>
          </cell>
          <cell r="K74">
            <v>1522.4874510222801</v>
          </cell>
        </row>
        <row r="75">
          <cell r="A75" t="str">
            <v>CO2</v>
          </cell>
          <cell r="B75" t="str">
            <v>VAR_fout</v>
          </cell>
          <cell r="C75" t="str">
            <v>D-SLFO</v>
          </cell>
          <cell r="I75">
            <v>1139.1831497641899</v>
          </cell>
          <cell r="J75">
            <v>915.13020285499499</v>
          </cell>
          <cell r="K75">
            <v>390.40117163068498</v>
          </cell>
        </row>
        <row r="76">
          <cell r="A76" t="str">
            <v>CO2</v>
          </cell>
          <cell r="B76" t="str">
            <v>VAR_fout</v>
          </cell>
          <cell r="C76" t="str">
            <v>D-RLFO</v>
          </cell>
          <cell r="I76">
            <v>1776.8315804434401</v>
          </cell>
          <cell r="J76">
            <v>1328.0398190306801</v>
          </cell>
          <cell r="K76">
            <v>443.679863187416</v>
          </cell>
        </row>
        <row r="77">
          <cell r="A77" t="str">
            <v>CO2</v>
          </cell>
          <cell r="B77" t="str">
            <v>VAR_fout</v>
          </cell>
          <cell r="C77" t="str">
            <v>D-TGSL</v>
          </cell>
          <cell r="I77">
            <v>1921.7670893350401</v>
          </cell>
          <cell r="J77">
            <v>1867.7058095678001</v>
          </cell>
          <cell r="K77">
            <v>1442.78513611222</v>
          </cell>
        </row>
        <row r="78">
          <cell r="A78" t="str">
            <v>CO2</v>
          </cell>
          <cell r="B78" t="str">
            <v>VAR_fout</v>
          </cell>
          <cell r="C78" t="str">
            <v>D-INGA</v>
          </cell>
          <cell r="I78">
            <v>1487.74726553243</v>
          </cell>
          <cell r="J78">
            <v>1493.83936592382</v>
          </cell>
          <cell r="K78">
            <v>1366.9506093330799</v>
          </cell>
        </row>
        <row r="79">
          <cell r="A79" t="str">
            <v>ENGA</v>
          </cell>
          <cell r="B79" t="str">
            <v>VAR_fout</v>
          </cell>
          <cell r="C79" t="str">
            <v>D-ENGA</v>
          </cell>
          <cell r="I79">
            <v>2.8233634640800891</v>
          </cell>
          <cell r="J79">
            <v>3.2643995376223351</v>
          </cell>
          <cell r="K79">
            <v>12.63328307654964</v>
          </cell>
        </row>
        <row r="80">
          <cell r="A80" t="str">
            <v>ILFO</v>
          </cell>
          <cell r="B80" t="str">
            <v>VAR_fout</v>
          </cell>
          <cell r="C80" t="str">
            <v>D-ILFO</v>
          </cell>
          <cell r="I80">
            <v>5.7603041335006058</v>
          </cell>
          <cell r="J80">
            <v>3.5552237047895496</v>
          </cell>
          <cell r="K80">
            <v>0.33964706912713727</v>
          </cell>
        </row>
        <row r="81">
          <cell r="A81" t="str">
            <v>CHEAT</v>
          </cell>
          <cell r="B81" t="str">
            <v>VAR_fout</v>
          </cell>
          <cell r="C81" t="str">
            <v>D-CHEAT</v>
          </cell>
          <cell r="J81">
            <v>1.3520361131096983E-4</v>
          </cell>
          <cell r="K81">
            <v>8.2454686673859193E-5</v>
          </cell>
        </row>
        <row r="82">
          <cell r="A82" t="str">
            <v>CHEAT</v>
          </cell>
          <cell r="B82" t="str">
            <v>VAR_fin</v>
          </cell>
          <cell r="C82" t="str">
            <v>SUP_ELCH2_SOEC</v>
          </cell>
          <cell r="J82">
            <v>1.3520361131096983E-4</v>
          </cell>
          <cell r="K82">
            <v>8.2454686673859193E-5</v>
          </cell>
        </row>
        <row r="83">
          <cell r="A83" t="str">
            <v>TDSL</v>
          </cell>
          <cell r="B83" t="str">
            <v>VAR_fout</v>
          </cell>
          <cell r="C83" t="str">
            <v>D-TBDS1</v>
          </cell>
          <cell r="I83">
            <v>2.0043261726397863</v>
          </cell>
          <cell r="J83">
            <v>1.5372515133111375</v>
          </cell>
          <cell r="K83">
            <v>1.2802270496996924</v>
          </cell>
        </row>
        <row r="84">
          <cell r="A84" t="str">
            <v>CNGA</v>
          </cell>
          <cell r="B84" t="str">
            <v>VAR_fout</v>
          </cell>
          <cell r="C84" t="str">
            <v>D-CNGA</v>
          </cell>
          <cell r="K84">
            <v>2.2463146938995175E-4</v>
          </cell>
        </row>
        <row r="85">
          <cell r="A85" t="str">
            <v>CNGA</v>
          </cell>
          <cell r="B85" t="str">
            <v>VAR_fin</v>
          </cell>
          <cell r="C85" t="str">
            <v>SUP_NGAH2</v>
          </cell>
          <cell r="K85">
            <v>2.2463146938995175E-4</v>
          </cell>
        </row>
        <row r="86">
          <cell r="A86" t="str">
            <v>LBIO</v>
          </cell>
          <cell r="B86" t="str">
            <v>VAR_fin</v>
          </cell>
          <cell r="C86" t="str">
            <v>D-LBIO</v>
          </cell>
          <cell r="I86">
            <v>2.1234868294253144</v>
          </cell>
          <cell r="J86">
            <v>2.1355914461249874</v>
          </cell>
          <cell r="K86">
            <v>1.5620366117920142E-4</v>
          </cell>
        </row>
        <row r="87">
          <cell r="A87" t="str">
            <v>H2_E</v>
          </cell>
          <cell r="B87" t="str">
            <v>VAR_fout</v>
          </cell>
          <cell r="C87" t="str">
            <v>SUP_ELCH2_D</v>
          </cell>
          <cell r="I87">
            <v>2.1806674334474351E-6</v>
          </cell>
          <cell r="J87">
            <v>1.8762499229662397E-4</v>
          </cell>
          <cell r="K87">
            <v>1.9776174981497741E-4</v>
          </cell>
        </row>
        <row r="88">
          <cell r="A88" t="str">
            <v>H2_E</v>
          </cell>
          <cell r="B88" t="str">
            <v>VAR_fin</v>
          </cell>
          <cell r="C88" t="str">
            <v>D-DH2</v>
          </cell>
          <cell r="I88">
            <v>2.1806674334474351E-6</v>
          </cell>
          <cell r="J88">
            <v>1.8762499229662397E-4</v>
          </cell>
          <cell r="K88">
            <v>1.9776174981497741E-4</v>
          </cell>
        </row>
        <row r="89">
          <cell r="A89" t="str">
            <v>BNGA</v>
          </cell>
          <cell r="B89" t="str">
            <v>VAR_fout</v>
          </cell>
          <cell r="C89" t="str">
            <v>SUP_BIONGA</v>
          </cell>
          <cell r="I89">
            <v>3.1732454121079221</v>
          </cell>
          <cell r="J89">
            <v>3.1728322119506931</v>
          </cell>
          <cell r="K89">
            <v>3.1730798407719867</v>
          </cell>
        </row>
        <row r="90">
          <cell r="A90" t="str">
            <v>BNGA</v>
          </cell>
          <cell r="B90" t="str">
            <v>VAR_fin</v>
          </cell>
          <cell r="C90" t="str">
            <v>D-ENGA</v>
          </cell>
          <cell r="I90">
            <v>7.3507551383231076E-2</v>
          </cell>
          <cell r="J90">
            <v>7.3506926845758769E-2</v>
          </cell>
          <cell r="K90">
            <v>7.3507629731767055E-2</v>
          </cell>
        </row>
        <row r="91">
          <cell r="A91" t="str">
            <v>BNGA</v>
          </cell>
          <cell r="B91" t="str">
            <v>VAR_fin</v>
          </cell>
          <cell r="C91" t="str">
            <v>D-CNGA</v>
          </cell>
          <cell r="K91">
            <v>2.2534908148216017E-4</v>
          </cell>
        </row>
        <row r="92">
          <cell r="A92" t="str">
            <v>BNGA</v>
          </cell>
          <cell r="B92" t="str">
            <v>VAR_fin</v>
          </cell>
          <cell r="C92" t="str">
            <v>D-TNGA</v>
          </cell>
          <cell r="I92">
            <v>7.8451246444820373E-5</v>
          </cell>
          <cell r="J92">
            <v>1.5890798250853813E-5</v>
          </cell>
          <cell r="K92">
            <v>2.3215856610194606E-5</v>
          </cell>
        </row>
        <row r="93">
          <cell r="A93" t="str">
            <v>BNGA</v>
          </cell>
          <cell r="B93" t="str">
            <v>VAR_fin</v>
          </cell>
          <cell r="C93" t="str">
            <v>D-SNGA</v>
          </cell>
          <cell r="I93">
            <v>1.9685964223434607E-4</v>
          </cell>
          <cell r="J93">
            <v>2.3075692810377896E-5</v>
          </cell>
          <cell r="K93">
            <v>3.2653780247643127E-5</v>
          </cell>
        </row>
        <row r="94">
          <cell r="A94" t="str">
            <v>BNGA</v>
          </cell>
          <cell r="B94" t="str">
            <v>VAR_fin</v>
          </cell>
          <cell r="C94" t="str">
            <v>D-RNGA</v>
          </cell>
          <cell r="I94">
            <v>1.9743818574950362E-4</v>
          </cell>
          <cell r="J94">
            <v>2.3109802883092806E-5</v>
          </cell>
          <cell r="K94">
            <v>3.2661761072874723E-5</v>
          </cell>
        </row>
        <row r="95">
          <cell r="A95" t="str">
            <v>BNGA</v>
          </cell>
          <cell r="B95" t="str">
            <v>VAR_fin</v>
          </cell>
          <cell r="C95" t="str">
            <v>D-INGA</v>
          </cell>
          <cell r="I95">
            <v>3.0992636166177836</v>
          </cell>
          <cell r="J95">
            <v>3.0992638369489725</v>
          </cell>
          <cell r="K95">
            <v>3.0992651637144419</v>
          </cell>
        </row>
        <row r="96">
          <cell r="A96" t="str">
            <v>LFO</v>
          </cell>
          <cell r="B96" t="str">
            <v>VAR_fin</v>
          </cell>
          <cell r="C96" t="str">
            <v>D-ILFO</v>
          </cell>
          <cell r="I96">
            <v>5.8579712429197954</v>
          </cell>
          <cell r="J96">
            <v>3.6154376873559686</v>
          </cell>
          <cell r="K96">
            <v>0.34524483381016835</v>
          </cell>
        </row>
        <row r="97">
          <cell r="A97" t="str">
            <v>LFO</v>
          </cell>
          <cell r="B97" t="str">
            <v>VAR_fin</v>
          </cell>
          <cell r="C97" t="str">
            <v>D-SLFO</v>
          </cell>
          <cell r="I97">
            <v>15.457030525972675</v>
          </cell>
          <cell r="J97">
            <v>12.416963403731263</v>
          </cell>
          <cell r="K97">
            <v>5.2971665078790373</v>
          </cell>
        </row>
        <row r="98">
          <cell r="A98" t="str">
            <v>LFO</v>
          </cell>
          <cell r="B98" t="str">
            <v>VAR_fin</v>
          </cell>
          <cell r="C98" t="str">
            <v>D-RLFO</v>
          </cell>
          <cell r="I98">
            <v>24.108976668160636</v>
          </cell>
          <cell r="J98">
            <v>18.019536214798968</v>
          </cell>
          <cell r="K98">
            <v>6.0200795547817698</v>
          </cell>
        </row>
        <row r="99">
          <cell r="A99" t="str">
            <v>MNR</v>
          </cell>
          <cell r="B99" t="str">
            <v>VAR_fin</v>
          </cell>
          <cell r="C99" t="str">
            <v>SUP_MNRBIO</v>
          </cell>
          <cell r="I99">
            <v>12.540427013672588</v>
          </cell>
          <cell r="J99">
            <v>12.541395046064029</v>
          </cell>
          <cell r="K99">
            <v>12.541395542708482</v>
          </cell>
        </row>
        <row r="100">
          <cell r="A100" t="str">
            <v>TNGA</v>
          </cell>
          <cell r="B100" t="str">
            <v>VAR_fout</v>
          </cell>
          <cell r="C100" t="str">
            <v>D-TNGA</v>
          </cell>
          <cell r="I100">
            <v>1.2060776721350534E-3</v>
          </cell>
          <cell r="J100">
            <v>1.1494366871075059E-3</v>
          </cell>
          <cell r="K100">
            <v>9.4404830743811225E-4</v>
          </cell>
        </row>
        <row r="101">
          <cell r="A101" t="str">
            <v>WOD</v>
          </cell>
          <cell r="B101" t="str">
            <v>VAR_fin</v>
          </cell>
          <cell r="C101" t="str">
            <v>D-CWOD</v>
          </cell>
          <cell r="I101">
            <v>3.8996404024240099</v>
          </cell>
          <cell r="J101">
            <v>4.4054898355770415</v>
          </cell>
          <cell r="K101">
            <v>9.2481410310051366</v>
          </cell>
        </row>
        <row r="102">
          <cell r="A102" t="str">
            <v>GSL</v>
          </cell>
          <cell r="B102" t="str">
            <v>VAR_fin</v>
          </cell>
          <cell r="C102" t="str">
            <v>D-TGSL</v>
          </cell>
          <cell r="I102">
            <v>26.040204462534401</v>
          </cell>
          <cell r="J102">
            <v>25.307666796311594</v>
          </cell>
          <cell r="K102">
            <v>19.54993409366147</v>
          </cell>
        </row>
        <row r="103">
          <cell r="A103" t="str">
            <v>IBIO</v>
          </cell>
          <cell r="B103" t="str">
            <v>VAR_fout</v>
          </cell>
          <cell r="C103" t="str">
            <v>D-IBIO</v>
          </cell>
          <cell r="I103">
            <v>8.4435734597810228</v>
          </cell>
          <cell r="J103">
            <v>8.4435847936737201</v>
          </cell>
          <cell r="K103">
            <v>8.4435851802748534</v>
          </cell>
        </row>
        <row r="104">
          <cell r="A104" t="str">
            <v>SNGA</v>
          </cell>
          <cell r="B104" t="str">
            <v>VAR_fout</v>
          </cell>
          <cell r="C104" t="str">
            <v>D-SNGA</v>
          </cell>
          <cell r="I104">
            <v>31.877870008880056</v>
          </cell>
          <cell r="J104">
            <v>28.283038953024867</v>
          </cell>
          <cell r="K104">
            <v>12.355513374657669</v>
          </cell>
        </row>
        <row r="105">
          <cell r="A105" t="str">
            <v>AUX_H2STG_IN</v>
          </cell>
          <cell r="B105" t="str">
            <v>VAR_fin</v>
          </cell>
          <cell r="C105" t="str">
            <v>STG-H2</v>
          </cell>
          <cell r="I105">
            <v>1.237808410821758E-6</v>
          </cell>
          <cell r="J105">
            <v>1.6545315357650503E-6</v>
          </cell>
          <cell r="K105">
            <v>1.6971733604168579E-6</v>
          </cell>
        </row>
        <row r="106">
          <cell r="A106" t="str">
            <v>AUX_H2STG_IN</v>
          </cell>
          <cell r="B106" t="str">
            <v>VAR_fin</v>
          </cell>
          <cell r="C106" t="str">
            <v>STG-H2</v>
          </cell>
          <cell r="I106">
            <v>5.2179409417146068E-6</v>
          </cell>
          <cell r="J106">
            <v>7.2589063924726388E-6</v>
          </cell>
          <cell r="K106">
            <v>7.3196030158847799E-6</v>
          </cell>
        </row>
        <row r="107">
          <cell r="A107" t="str">
            <v>AUX_H2STG_IN</v>
          </cell>
          <cell r="B107" t="str">
            <v>VAR_fin</v>
          </cell>
          <cell r="C107" t="str">
            <v>STG-H2</v>
          </cell>
          <cell r="I107">
            <v>1.0181078533584646E-6</v>
          </cell>
          <cell r="J107">
            <v>1.3996588833594718E-6</v>
          </cell>
          <cell r="K107">
            <v>1.2833513088986099E-6</v>
          </cell>
        </row>
        <row r="108">
          <cell r="A108" t="str">
            <v>AUX_H2STG_IN</v>
          </cell>
          <cell r="B108" t="str">
            <v>VAR_fin</v>
          </cell>
          <cell r="C108" t="str">
            <v>STG-H2</v>
          </cell>
          <cell r="I108">
            <v>1.2364969687464374E-6</v>
          </cell>
          <cell r="J108">
            <v>1.6330402232642755E-6</v>
          </cell>
          <cell r="K108">
            <v>1.6856348192459214E-6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I109">
            <v>1.7255277087879536E-6</v>
          </cell>
          <cell r="J109">
            <v>2.5716757500838514E-6</v>
          </cell>
          <cell r="K109">
            <v>2.6534435273233763E-6</v>
          </cell>
        </row>
        <row r="110">
          <cell r="A110" t="str">
            <v>H2</v>
          </cell>
          <cell r="B110" t="str">
            <v>VAR_fout</v>
          </cell>
          <cell r="C110" t="str">
            <v>SUP_NGAH2</v>
          </cell>
          <cell r="K110">
            <v>1.7071991673636331E-4</v>
          </cell>
        </row>
        <row r="111">
          <cell r="A111" t="str">
            <v>H2</v>
          </cell>
          <cell r="B111" t="str">
            <v>VAR_fout</v>
          </cell>
          <cell r="C111" t="str">
            <v>STG-H2</v>
          </cell>
          <cell r="I111">
            <v>1.1741880908294338E-6</v>
          </cell>
          <cell r="J111">
            <v>1.6692633931884288E-6</v>
          </cell>
          <cell r="K111">
            <v>1.8374968637080623E-6</v>
          </cell>
        </row>
        <row r="112">
          <cell r="A112" t="str">
            <v>H2</v>
          </cell>
          <cell r="B112" t="str">
            <v>VAR_fout</v>
          </cell>
          <cell r="C112" t="str">
            <v>STG-H2</v>
          </cell>
          <cell r="I112">
            <v>5.1990803122371807E-6</v>
          </cell>
          <cell r="J112">
            <v>7.0715645673886637E-6</v>
          </cell>
          <cell r="K112">
            <v>7.2534992741978277E-6</v>
          </cell>
        </row>
        <row r="113">
          <cell r="A113" t="str">
            <v>H2</v>
          </cell>
          <cell r="B113" t="str">
            <v>VAR_fout</v>
          </cell>
          <cell r="C113" t="str">
            <v>STG-H2</v>
          </cell>
          <cell r="I113">
            <v>1.7353792020725927E-6</v>
          </cell>
          <cell r="J113">
            <v>2.3764436956354611E-6</v>
          </cell>
          <cell r="K113">
            <v>2.3549822269589214E-6</v>
          </cell>
        </row>
        <row r="114">
          <cell r="A114" t="str">
            <v>H2</v>
          </cell>
          <cell r="B114" t="str">
            <v>VAR_fout</v>
          </cell>
          <cell r="C114" t="str">
            <v>STG-H2</v>
          </cell>
          <cell r="I114">
            <v>1.1768290663107047E-6</v>
          </cell>
          <cell r="J114">
            <v>1.6899998176320581E-6</v>
          </cell>
          <cell r="K114">
            <v>1.8412655824767679E-6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I115">
            <v>1.1126839530244474E-6</v>
          </cell>
          <cell r="J115">
            <v>1.3358576609327105E-6</v>
          </cell>
          <cell r="K115">
            <v>1.2197546010540844E-6</v>
          </cell>
        </row>
        <row r="116">
          <cell r="A116" t="str">
            <v>H2</v>
          </cell>
          <cell r="B116" t="str">
            <v>VAR_fout</v>
          </cell>
          <cell r="C116" t="str">
            <v>IMPH2</v>
          </cell>
          <cell r="J116">
            <v>7.184609358289461E-5</v>
          </cell>
          <cell r="K116">
            <v>7.199672519050043E-5</v>
          </cell>
        </row>
        <row r="117">
          <cell r="A117" t="str">
            <v>H2</v>
          </cell>
          <cell r="B117" t="str">
            <v>VAR_fout</v>
          </cell>
          <cell r="C117" t="str">
            <v>SUP_ELCH2_SOEC</v>
          </cell>
          <cell r="J117">
            <v>9.0482416800418243E-4</v>
          </cell>
          <cell r="K117">
            <v>7.4209218006473371E-4</v>
          </cell>
        </row>
        <row r="118">
          <cell r="A118" t="str">
            <v>H2</v>
          </cell>
          <cell r="B118" t="str">
            <v>VAR_fout</v>
          </cell>
          <cell r="C118" t="str">
            <v>SUP_ELCH2</v>
          </cell>
          <cell r="I118">
            <v>4.8492722197846791E-3</v>
          </cell>
          <cell r="J118">
            <v>3.7681314298858488E-3</v>
          </cell>
          <cell r="K118">
            <v>0.18373645182707721</v>
          </cell>
        </row>
        <row r="119">
          <cell r="A119" t="str">
            <v>H2</v>
          </cell>
          <cell r="B119" t="str">
            <v>VAR_fout</v>
          </cell>
          <cell r="C119" t="str">
            <v>D-DH2</v>
          </cell>
          <cell r="I119">
            <v>2.1588607591129606E-6</v>
          </cell>
          <cell r="J119">
            <v>1.8574874237365776E-4</v>
          </cell>
          <cell r="K119">
            <v>1.9578413231682783E-4</v>
          </cell>
        </row>
        <row r="120">
          <cell r="A120" t="str">
            <v>H2</v>
          </cell>
          <cell r="B120" t="str">
            <v>VAR_fin</v>
          </cell>
          <cell r="C120" t="str">
            <v>STG-H2</v>
          </cell>
          <cell r="I120">
            <v>1.237808410821758E-6</v>
          </cell>
          <cell r="J120">
            <v>1.6545315357650503E-6</v>
          </cell>
          <cell r="K120">
            <v>1.6971733604168579E-6</v>
          </cell>
        </row>
        <row r="121">
          <cell r="A121" t="str">
            <v>H2</v>
          </cell>
          <cell r="B121" t="str">
            <v>VAR_fin</v>
          </cell>
          <cell r="C121" t="str">
            <v>STG-H2</v>
          </cell>
          <cell r="I121">
            <v>5.2179409417146068E-6</v>
          </cell>
          <cell r="J121">
            <v>7.2589063924726388E-6</v>
          </cell>
          <cell r="K121">
            <v>7.3196030158847799E-6</v>
          </cell>
        </row>
        <row r="122">
          <cell r="A122" t="str">
            <v>H2</v>
          </cell>
          <cell r="B122" t="str">
            <v>VAR_fin</v>
          </cell>
          <cell r="C122" t="str">
            <v>STG-H2</v>
          </cell>
          <cell r="I122">
            <v>1.0181078533584646E-6</v>
          </cell>
          <cell r="J122">
            <v>1.3996588833594718E-6</v>
          </cell>
          <cell r="K122">
            <v>1.2833513088986099E-6</v>
          </cell>
        </row>
        <row r="123">
          <cell r="A123" t="str">
            <v>H2</v>
          </cell>
          <cell r="B123" t="str">
            <v>VAR_fin</v>
          </cell>
          <cell r="C123" t="str">
            <v>STG-H2</v>
          </cell>
          <cell r="I123">
            <v>1.2364969687464374E-6</v>
          </cell>
          <cell r="J123">
            <v>1.6330402232642755E-6</v>
          </cell>
          <cell r="K123">
            <v>1.6856348192459214E-6</v>
          </cell>
        </row>
        <row r="124">
          <cell r="A124" t="str">
            <v>H2</v>
          </cell>
          <cell r="B124" t="str">
            <v>VAR_fin</v>
          </cell>
          <cell r="C124" t="str">
            <v>STG-H2</v>
          </cell>
          <cell r="I124">
            <v>1.7255277087879536E-6</v>
          </cell>
          <cell r="J124">
            <v>2.5716757500838514E-6</v>
          </cell>
          <cell r="K124">
            <v>2.6534435273233763E-6</v>
          </cell>
        </row>
        <row r="125">
          <cell r="A125" t="str">
            <v>H2</v>
          </cell>
          <cell r="B125" t="str">
            <v>VAR_fin</v>
          </cell>
          <cell r="C125" t="str">
            <v>D-TNGA</v>
          </cell>
          <cell r="I125">
            <v>9.7338404550836951E-6</v>
          </cell>
          <cell r="J125">
            <v>6.3537645516590576E-6</v>
          </cell>
          <cell r="K125">
            <v>9.6315634754848467E-6</v>
          </cell>
        </row>
        <row r="126">
          <cell r="A126" t="str">
            <v>H2</v>
          </cell>
          <cell r="B126" t="str">
            <v>VAR_fin</v>
          </cell>
          <cell r="C126" t="str">
            <v>D-INGA</v>
          </cell>
          <cell r="I126">
            <v>3.6175793755934844E-3</v>
          </cell>
          <cell r="J126">
            <v>3.9066128260037475E-3</v>
          </cell>
          <cell r="K126">
            <v>0.15375788951066899</v>
          </cell>
        </row>
        <row r="127">
          <cell r="A127" t="str">
            <v>AUX_H2STG_OUT</v>
          </cell>
          <cell r="B127" t="str">
            <v>VAR_fout</v>
          </cell>
          <cell r="C127" t="str">
            <v>STG-H2</v>
          </cell>
          <cell r="I127">
            <v>1.1741880908294338E-6</v>
          </cell>
          <cell r="J127">
            <v>1.6692633931884288E-6</v>
          </cell>
          <cell r="K127">
            <v>1.8374968637080631E-6</v>
          </cell>
        </row>
        <row r="128">
          <cell r="A128" t="str">
            <v>AUX_H2STG_OUT</v>
          </cell>
          <cell r="B128" t="str">
            <v>VAR_fout</v>
          </cell>
          <cell r="C128" t="str">
            <v>STG-H2</v>
          </cell>
          <cell r="I128">
            <v>5.1990803122371807E-6</v>
          </cell>
          <cell r="J128">
            <v>7.0715645673886637E-6</v>
          </cell>
          <cell r="K128">
            <v>7.2534992741978396E-6</v>
          </cell>
        </row>
        <row r="129">
          <cell r="A129" t="str">
            <v>AUX_H2STG_OUT</v>
          </cell>
          <cell r="B129" t="str">
            <v>VAR_fout</v>
          </cell>
          <cell r="C129" t="str">
            <v>STG-H2</v>
          </cell>
          <cell r="I129">
            <v>1.7353792020725927E-6</v>
          </cell>
          <cell r="J129">
            <v>2.3764436956354611E-6</v>
          </cell>
          <cell r="K129">
            <v>2.3549822269589214E-6</v>
          </cell>
        </row>
        <row r="130">
          <cell r="A130" t="str">
            <v>AUX_H2STG_OUT</v>
          </cell>
          <cell r="B130" t="str">
            <v>VAR_fout</v>
          </cell>
          <cell r="C130" t="str">
            <v>STG-H2</v>
          </cell>
          <cell r="I130">
            <v>1.1768290663107047E-6</v>
          </cell>
          <cell r="J130">
            <v>1.6899998176320581E-6</v>
          </cell>
          <cell r="K130">
            <v>1.8412655824767679E-6</v>
          </cell>
        </row>
        <row r="131">
          <cell r="A131" t="str">
            <v>AUX_H2STG_OUT</v>
          </cell>
          <cell r="B131" t="str">
            <v>VAR_fout</v>
          </cell>
          <cell r="C131" t="str">
            <v>STG-H2</v>
          </cell>
          <cell r="I131">
            <v>1.1126839530244474E-6</v>
          </cell>
          <cell r="J131">
            <v>1.3358576609327105E-6</v>
          </cell>
          <cell r="K131">
            <v>1.2197546010540844E-6</v>
          </cell>
        </row>
        <row r="132">
          <cell r="A132" t="str">
            <v>RNGA</v>
          </cell>
          <cell r="B132" t="str">
            <v>VAR_fout</v>
          </cell>
          <cell r="C132" t="str">
            <v>D-RNGA</v>
          </cell>
          <cell r="I132">
            <v>42.116063040669523</v>
          </cell>
          <cell r="J132">
            <v>38.623014541000167</v>
          </cell>
          <cell r="K132">
            <v>26.908528500984712</v>
          </cell>
        </row>
        <row r="133">
          <cell r="A133" t="str">
            <v>CWOD</v>
          </cell>
          <cell r="B133" t="str">
            <v>VAR_fout</v>
          </cell>
          <cell r="C133" t="str">
            <v>D-CWOD</v>
          </cell>
          <cell r="I133">
            <v>3.8996404024240099</v>
          </cell>
          <cell r="J133">
            <v>4.4054898355770415</v>
          </cell>
          <cell r="K133">
            <v>9.2481410310051366</v>
          </cell>
        </row>
        <row r="134">
          <cell r="A134" t="str">
            <v>CWOD</v>
          </cell>
          <cell r="B134" t="str">
            <v>VAR_fin</v>
          </cell>
          <cell r="C134" t="str">
            <v>SUP_WODBIO</v>
          </cell>
          <cell r="I134">
            <v>4.5688241163560381E-5</v>
          </cell>
          <cell r="J134">
            <v>4.6105084061889807E-5</v>
          </cell>
          <cell r="K134">
            <v>5.9910988440416445E-5</v>
          </cell>
        </row>
        <row r="135">
          <cell r="A135" t="str">
            <v>CWOD</v>
          </cell>
          <cell r="B135" t="str">
            <v>VAR_fin</v>
          </cell>
          <cell r="C135" t="str">
            <v>CT_CWODBDS</v>
          </cell>
          <cell r="I135">
            <v>4.5387750288159148E-5</v>
          </cell>
          <cell r="J135">
            <v>3.5859777000507185E-5</v>
          </cell>
          <cell r="K135">
            <v>4.0095180816524492</v>
          </cell>
        </row>
        <row r="136">
          <cell r="A136" t="str">
            <v>CWOD</v>
          </cell>
          <cell r="B136" t="str">
            <v>VAR_fin</v>
          </cell>
          <cell r="C136" t="str">
            <v>CT_CWODPLT</v>
          </cell>
          <cell r="I136">
            <v>3.8995197265139803</v>
          </cell>
          <cell r="J136">
            <v>4.4053950341615007</v>
          </cell>
          <cell r="K136">
            <v>5.2384983922057096</v>
          </cell>
        </row>
        <row r="137">
          <cell r="A137" t="str">
            <v>CWOD</v>
          </cell>
          <cell r="B137" t="str">
            <v>VAR_fin</v>
          </cell>
          <cell r="C137" t="str">
            <v>CT_CWODETH</v>
          </cell>
          <cell r="I137">
            <v>2.9561393250506815E-5</v>
          </cell>
          <cell r="J137">
            <v>1.2798081145944954E-5</v>
          </cell>
          <cell r="K137">
            <v>7.2488751461135113E-5</v>
          </cell>
        </row>
        <row r="138">
          <cell r="A138" t="str">
            <v>BDS</v>
          </cell>
          <cell r="B138" t="str">
            <v>VAR_fout</v>
          </cell>
          <cell r="C138" t="str">
            <v>IMPBDS</v>
          </cell>
          <cell r="I138">
            <v>3.0158010737945959</v>
          </cell>
          <cell r="J138">
            <v>3.015554252505205</v>
          </cell>
          <cell r="K138">
            <v>1.6084236935190843</v>
          </cell>
        </row>
        <row r="139">
          <cell r="A139" t="str">
            <v>BDS</v>
          </cell>
          <cell r="B139" t="str">
            <v>VAR_fout</v>
          </cell>
          <cell r="C139" t="str">
            <v>CT_CWODBDS</v>
          </cell>
          <cell r="I139">
            <v>1.5928320859153944E-5</v>
          </cell>
          <cell r="J139">
            <v>1.2584585716970432E-5</v>
          </cell>
          <cell r="K139">
            <v>1.4070953085286726</v>
          </cell>
        </row>
        <row r="140">
          <cell r="A140" t="str">
            <v>BDS</v>
          </cell>
          <cell r="B140" t="str">
            <v>VAR_fin</v>
          </cell>
          <cell r="C140" t="str">
            <v>D-ILFO</v>
          </cell>
          <cell r="I140">
            <v>1.7086472271224892E-4</v>
          </cell>
          <cell r="J140">
            <v>1.7107120775942527E-4</v>
          </cell>
          <cell r="K140">
            <v>1.7117915497772977E-4</v>
          </cell>
        </row>
        <row r="141">
          <cell r="A141" t="str">
            <v>BDS</v>
          </cell>
          <cell r="B141" t="str">
            <v>VAR_fin</v>
          </cell>
          <cell r="C141" t="str">
            <v>D-SLFO</v>
          </cell>
          <cell r="I141">
            <v>7.2095912023587572E-5</v>
          </cell>
          <cell r="J141">
            <v>2.665742299766968E-5</v>
          </cell>
          <cell r="K141">
            <v>1.8219175504481322E-5</v>
          </cell>
        </row>
        <row r="142">
          <cell r="A142" t="str">
            <v>BDS</v>
          </cell>
          <cell r="B142" t="str">
            <v>VAR_fin</v>
          </cell>
          <cell r="C142" t="str">
            <v>D-RLFO</v>
          </cell>
          <cell r="I142">
            <v>7.2150039884822257E-5</v>
          </cell>
          <cell r="J142">
            <v>2.6790147019171583E-5</v>
          </cell>
          <cell r="K142">
            <v>1.8269148802687759E-5</v>
          </cell>
        </row>
        <row r="143">
          <cell r="A143" t="str">
            <v>BDS</v>
          </cell>
          <cell r="B143" t="str">
            <v>VAR_fin</v>
          </cell>
          <cell r="C143" t="str">
            <v>D-TBDS1</v>
          </cell>
          <cell r="I143">
            <v>3.015502542098603</v>
          </cell>
          <cell r="J143">
            <v>3.0153428308715227</v>
          </cell>
          <cell r="K143">
            <v>3.0153116143202499</v>
          </cell>
        </row>
        <row r="144">
          <cell r="A144" t="str">
            <v>BIO</v>
          </cell>
          <cell r="B144" t="str">
            <v>VAR_fout</v>
          </cell>
          <cell r="C144" t="str">
            <v>SUP_WSTHTGBIO</v>
          </cell>
          <cell r="J144">
            <v>7.7098954413672835E-5</v>
          </cell>
          <cell r="K144">
            <v>7.3073016238859077E-5</v>
          </cell>
        </row>
        <row r="145">
          <cell r="A145" t="str">
            <v>BIO</v>
          </cell>
          <cell r="B145" t="str">
            <v>VAR_fout</v>
          </cell>
          <cell r="C145" t="str">
            <v>SUP_WSTBIO</v>
          </cell>
          <cell r="I145">
            <v>5.7912321003075373</v>
          </cell>
          <cell r="J145">
            <v>5.6304475481975098</v>
          </cell>
          <cell r="K145">
            <v>5.3090039540438276</v>
          </cell>
        </row>
        <row r="146">
          <cell r="A146" t="str">
            <v>BIO</v>
          </cell>
          <cell r="B146" t="str">
            <v>VAR_fout</v>
          </cell>
          <cell r="C146" t="str">
            <v>D-LBIO</v>
          </cell>
          <cell r="I146">
            <v>2.1234868294253144</v>
          </cell>
          <cell r="J146">
            <v>2.1355914461249874</v>
          </cell>
          <cell r="K146">
            <v>1.5620366117920142E-4</v>
          </cell>
        </row>
        <row r="147">
          <cell r="A147" t="str">
            <v>BIO</v>
          </cell>
          <cell r="B147" t="str">
            <v>VAR_fout</v>
          </cell>
          <cell r="C147" t="str">
            <v>SUP_MNRBIO</v>
          </cell>
          <cell r="I147">
            <v>4.384764690095313</v>
          </cell>
          <cell r="J147">
            <v>4.3851031629594566</v>
          </cell>
          <cell r="K147">
            <v>4.3851033366113663</v>
          </cell>
        </row>
        <row r="148">
          <cell r="A148" t="str">
            <v>BIO</v>
          </cell>
          <cell r="B148" t="str">
            <v>VAR_fout</v>
          </cell>
          <cell r="C148" t="str">
            <v>SUP_WODBIO</v>
          </cell>
          <cell r="I148">
            <v>3.3843141602637345E-5</v>
          </cell>
          <cell r="J148">
            <v>3.4151914119918363E-5</v>
          </cell>
          <cell r="K148">
            <v>4.4378509955864003E-5</v>
          </cell>
        </row>
        <row r="149">
          <cell r="A149" t="str">
            <v>BIO</v>
          </cell>
          <cell r="B149" t="str">
            <v>VAR_fin</v>
          </cell>
          <cell r="C149" t="str">
            <v>D-IBIO</v>
          </cell>
          <cell r="I149">
            <v>8.4435734597810228</v>
          </cell>
          <cell r="J149">
            <v>8.4435847936737201</v>
          </cell>
          <cell r="K149">
            <v>8.4435851802748534</v>
          </cell>
        </row>
        <row r="150">
          <cell r="A150" t="str">
            <v>BIO</v>
          </cell>
          <cell r="B150" t="str">
            <v>VAR_fin</v>
          </cell>
          <cell r="C150" t="str">
            <v>D-EBIO</v>
          </cell>
          <cell r="I150">
            <v>1.1839507374257026</v>
          </cell>
          <cell r="J150">
            <v>1.1839502085701004</v>
          </cell>
          <cell r="K150">
            <v>1.183950362137832</v>
          </cell>
        </row>
        <row r="151">
          <cell r="A151" t="str">
            <v>BIO</v>
          </cell>
          <cell r="B151" t="str">
            <v>VAR_fin</v>
          </cell>
          <cell r="C151" t="str">
            <v>D-CBIO</v>
          </cell>
          <cell r="I151">
            <v>3.4769555735883855</v>
          </cell>
          <cell r="J151">
            <v>3.4765028261947482</v>
          </cell>
          <cell r="K151">
            <v>3.4767741554802463</v>
          </cell>
        </row>
        <row r="152">
          <cell r="A152" t="str">
            <v>BIO</v>
          </cell>
          <cell r="B152" t="str">
            <v>VAR_fin</v>
          </cell>
          <cell r="C152" t="str">
            <v>D-SBIO</v>
          </cell>
          <cell r="I152">
            <v>2.9902037367918672</v>
          </cell>
          <cell r="J152">
            <v>2.9494347160453263</v>
          </cell>
          <cell r="K152">
            <v>2.8712695688230414</v>
          </cell>
        </row>
        <row r="153">
          <cell r="A153" t="str">
            <v>TKERintl_SAF</v>
          </cell>
          <cell r="B153" t="str">
            <v>VAR_fout</v>
          </cell>
          <cell r="C153" t="str">
            <v>D-TBDS1intl</v>
          </cell>
          <cell r="I153">
            <v>5.0403527815965798</v>
          </cell>
          <cell r="J153">
            <v>5.04035279549836</v>
          </cell>
          <cell r="K153">
            <v>5.0403528415515604</v>
          </cell>
        </row>
        <row r="154">
          <cell r="A154" t="str">
            <v>EBIO</v>
          </cell>
          <cell r="B154" t="str">
            <v>VAR_fout</v>
          </cell>
          <cell r="C154" t="str">
            <v>D-EBIO</v>
          </cell>
          <cell r="I154">
            <v>1.1839507374257026</v>
          </cell>
          <cell r="J154">
            <v>1.1839502085701004</v>
          </cell>
          <cell r="K154">
            <v>1.183950362137832</v>
          </cell>
        </row>
        <row r="155">
          <cell r="A155" t="str">
            <v>PLT</v>
          </cell>
          <cell r="B155" t="str">
            <v>VAR_fout</v>
          </cell>
          <cell r="C155" t="str">
            <v>CT_CWODPLT</v>
          </cell>
          <cell r="I155">
            <v>3.2755965702717442</v>
          </cell>
          <cell r="J155">
            <v>3.700531828695659</v>
          </cell>
          <cell r="K155">
            <v>4.4003386494527943</v>
          </cell>
        </row>
        <row r="156">
          <cell r="A156" t="str">
            <v>SLFO</v>
          </cell>
          <cell r="B156" t="str">
            <v>VAR_fout</v>
          </cell>
          <cell r="C156" t="str">
            <v>D-SLFO</v>
          </cell>
          <cell r="I156">
            <v>15.198950967128347</v>
          </cell>
          <cell r="J156">
            <v>12.209611856429746</v>
          </cell>
          <cell r="K156">
            <v>5.2087156279817108</v>
          </cell>
        </row>
        <row r="157">
          <cell r="A157" t="str">
            <v>ETH</v>
          </cell>
          <cell r="B157" t="str">
            <v>VAR_fout</v>
          </cell>
          <cell r="C157" t="str">
            <v>IMPETH</v>
          </cell>
          <cell r="I157">
            <v>1.5724147320600286</v>
          </cell>
          <cell r="J157">
            <v>1.4656110311705863</v>
          </cell>
          <cell r="K157">
            <v>1.1321414225150479</v>
          </cell>
        </row>
        <row r="158">
          <cell r="A158" t="str">
            <v>ETH</v>
          </cell>
          <cell r="B158" t="str">
            <v>VAR_fout</v>
          </cell>
          <cell r="C158" t="str">
            <v>CT_CWODETH</v>
          </cell>
          <cell r="I158">
            <v>1.4144207296893224E-5</v>
          </cell>
          <cell r="J158">
            <v>6.1234838018875422E-6</v>
          </cell>
          <cell r="K158">
            <v>3.4683613139299159E-5</v>
          </cell>
        </row>
        <row r="159">
          <cell r="A159" t="str">
            <v>ETH</v>
          </cell>
          <cell r="B159" t="str">
            <v>VAR_fin</v>
          </cell>
          <cell r="C159" t="str">
            <v>D-TGSL</v>
          </cell>
          <cell r="I159">
            <v>1.5724288866219571</v>
          </cell>
          <cell r="J159">
            <v>1.4656171850934117</v>
          </cell>
          <cell r="K159">
            <v>1.1321761061281876</v>
          </cell>
        </row>
        <row r="160">
          <cell r="A160" t="str">
            <v>TGSL</v>
          </cell>
          <cell r="B160" t="str">
            <v>VAR_fout</v>
          </cell>
          <cell r="C160" t="str">
            <v>D-TGSL</v>
          </cell>
          <cell r="I160">
            <v>27.20683522664649</v>
          </cell>
          <cell r="J160">
            <v>26.379821168894814</v>
          </cell>
          <cell r="K160">
            <v>20.378163488526248</v>
          </cell>
        </row>
        <row r="161">
          <cell r="A161" t="str">
            <v>RLFO</v>
          </cell>
          <cell r="B161" t="str">
            <v>VAR_fout</v>
          </cell>
          <cell r="C161" t="str">
            <v>D-RLFO</v>
          </cell>
          <cell r="I161">
            <v>23.706399622778939</v>
          </cell>
          <cell r="J161">
            <v>17.718615302847336</v>
          </cell>
          <cell r="K161">
            <v>5.9195550430202317</v>
          </cell>
        </row>
        <row r="162">
          <cell r="A162" t="str">
            <v>CELC_E</v>
          </cell>
          <cell r="B162" t="str">
            <v>VAR_fout</v>
          </cell>
          <cell r="C162" t="str">
            <v>ESOL-PV_E</v>
          </cell>
          <cell r="I162">
            <v>3.1036845734007265E-6</v>
          </cell>
          <cell r="J162">
            <v>2.4212175478363176E-4</v>
          </cell>
          <cell r="K162">
            <v>2.4117286562802138E-4</v>
          </cell>
        </row>
        <row r="163">
          <cell r="A163" t="str">
            <v>CELC_E</v>
          </cell>
          <cell r="B163" t="str">
            <v>VAR_fin</v>
          </cell>
          <cell r="C163" t="str">
            <v>SUP_ELCH2_D</v>
          </cell>
          <cell r="I163">
            <v>2.8978969215248309E-6</v>
          </cell>
          <cell r="J163">
            <v>2.4209676425370844E-4</v>
          </cell>
          <cell r="K163">
            <v>2.4117286562802138E-4</v>
          </cell>
        </row>
        <row r="164">
          <cell r="A164" t="str">
            <v>CBIO</v>
          </cell>
          <cell r="B164" t="str">
            <v>VAR_fout</v>
          </cell>
          <cell r="C164" t="str">
            <v>D-CBIO</v>
          </cell>
          <cell r="I164">
            <v>3.4769555735883855</v>
          </cell>
          <cell r="J164">
            <v>3.4765028261947482</v>
          </cell>
          <cell r="K164">
            <v>3.4767741554802463</v>
          </cell>
        </row>
        <row r="165">
          <cell r="A165" t="str">
            <v>CBIO</v>
          </cell>
          <cell r="B165" t="str">
            <v>VAR_fin</v>
          </cell>
          <cell r="C165" t="str">
            <v>SUP_BIONGA</v>
          </cell>
          <cell r="I165">
            <v>3.4769555735883855</v>
          </cell>
          <cell r="J165">
            <v>3.4765028261947482</v>
          </cell>
          <cell r="K165">
            <v>3.4767741554802463</v>
          </cell>
        </row>
        <row r="166">
          <cell r="A166" t="str">
            <v>LTH</v>
          </cell>
          <cell r="B166" t="str">
            <v>VAR_fout</v>
          </cell>
          <cell r="C166" t="str">
            <v>SUP_WODBIO</v>
          </cell>
          <cell r="I166">
            <v>3.841939021635431E-6</v>
          </cell>
          <cell r="J166">
            <v>2.9175503723810871E-6</v>
          </cell>
          <cell r="K166">
            <v>3.8650938782006872E-6</v>
          </cell>
        </row>
        <row r="167">
          <cell r="A167" t="str">
            <v>LTH</v>
          </cell>
          <cell r="B167" t="str">
            <v>VAR_fout</v>
          </cell>
          <cell r="C167" t="str">
            <v>CT_CWODBDS</v>
          </cell>
          <cell r="I167">
            <v>6.2120451350700284E-6</v>
          </cell>
          <cell r="J167">
            <v>4.9079884296184633E-6</v>
          </cell>
          <cell r="K167">
            <v>0.54876717032618105</v>
          </cell>
        </row>
        <row r="168">
          <cell r="A168" t="str">
            <v>LTH</v>
          </cell>
          <cell r="B168" t="str">
            <v>VAR_fin</v>
          </cell>
          <cell r="C168" t="str">
            <v>D-CHEAT</v>
          </cell>
          <cell r="J168">
            <v>1.3896103398647102E-5</v>
          </cell>
          <cell r="K168">
            <v>2.7211308083904194E-5</v>
          </cell>
        </row>
        <row r="169">
          <cell r="A169" t="str">
            <v>LNGA</v>
          </cell>
          <cell r="B169" t="str">
            <v>VAR_fin</v>
          </cell>
          <cell r="C169" t="str">
            <v>D-LNGA</v>
          </cell>
          <cell r="I169">
            <v>2.564265765005562E-4</v>
          </cell>
          <cell r="J169">
            <v>5.5546877819678532E-5</v>
          </cell>
          <cell r="K169">
            <v>1.2106807837824582E-4</v>
          </cell>
        </row>
        <row r="170">
          <cell r="A170" t="str">
            <v>IH2</v>
          </cell>
          <cell r="B170" t="str">
            <v>VAR_fout</v>
          </cell>
          <cell r="C170" t="str">
            <v>D-INGA</v>
          </cell>
          <cell r="I170">
            <v>3.6179022586178577E-3</v>
          </cell>
          <cell r="J170">
            <v>3.9086741707524738E-3</v>
          </cell>
          <cell r="K170">
            <v>0.15375995085541189</v>
          </cell>
        </row>
        <row r="171">
          <cell r="A171" t="str">
            <v>WHEAT</v>
          </cell>
          <cell r="B171" t="str">
            <v>VAR_fin</v>
          </cell>
          <cell r="C171" t="str">
            <v>D-CHEAT</v>
          </cell>
          <cell r="J171">
            <v>1.2314599144875273E-4</v>
          </cell>
          <cell r="K171">
            <v>5.657112602880657E-5</v>
          </cell>
        </row>
        <row r="172">
          <cell r="A172" t="str">
            <v>SOL</v>
          </cell>
          <cell r="B172" t="str">
            <v>VAR_fin</v>
          </cell>
          <cell r="C172" t="str">
            <v>ESOL-PV_A</v>
          </cell>
          <cell r="I172">
            <v>9.9070308512939627E-4</v>
          </cell>
          <cell r="J172">
            <v>9.8917169820446306E-4</v>
          </cell>
          <cell r="K172">
            <v>7.8439032543397051E-4</v>
          </cell>
        </row>
        <row r="173">
          <cell r="A173" t="str">
            <v>SOL</v>
          </cell>
          <cell r="B173" t="str">
            <v>VAR_fin</v>
          </cell>
          <cell r="C173" t="str">
            <v>ESOL-PV_E</v>
          </cell>
          <cell r="I173">
            <v>3.1036845734007265E-6</v>
          </cell>
          <cell r="J173">
            <v>2.4212175478363176E-4</v>
          </cell>
          <cell r="K173">
            <v>2.4117286562802138E-4</v>
          </cell>
        </row>
        <row r="174">
          <cell r="A174" t="str">
            <v>TKER</v>
          </cell>
          <cell r="B174" t="str">
            <v>VAR_fout</v>
          </cell>
          <cell r="C174" t="str">
            <v>D-TBDS1</v>
          </cell>
          <cell r="I174">
            <v>0.96686012196584104</v>
          </cell>
          <cell r="J174">
            <v>1.4337777950010999</v>
          </cell>
          <cell r="K174">
            <v>1.6907713324512901</v>
          </cell>
        </row>
        <row r="175">
          <cell r="A175" t="str">
            <v>BDS1</v>
          </cell>
          <cell r="B175" t="str">
            <v>VAR_fout</v>
          </cell>
          <cell r="C175" t="str">
            <v>IMPBDS1</v>
          </cell>
          <cell r="I175">
            <v>5.0403527815965798</v>
          </cell>
          <cell r="J175">
            <v>5.04035279549836</v>
          </cell>
          <cell r="K175">
            <v>5.0403528415515604</v>
          </cell>
        </row>
        <row r="176">
          <cell r="A176" t="str">
            <v>BDS1</v>
          </cell>
          <cell r="B176" t="str">
            <v>VAR_fin</v>
          </cell>
          <cell r="C176" t="str">
            <v>D-TBDS1intl</v>
          </cell>
          <cell r="I176">
            <v>5.0403527815965798</v>
          </cell>
          <cell r="J176">
            <v>5.04035279549836</v>
          </cell>
          <cell r="K176">
            <v>5.0403528415515604</v>
          </cell>
        </row>
        <row r="177">
          <cell r="A177" t="str">
            <v>CELC</v>
          </cell>
          <cell r="B177" t="str">
            <v>VAR_fout</v>
          </cell>
          <cell r="C177" t="str">
            <v>D-CELC</v>
          </cell>
          <cell r="I177">
            <v>6.4685493231275747E-3</v>
          </cell>
          <cell r="J177">
            <v>5.7778765705654911E-3</v>
          </cell>
          <cell r="K177">
            <v>0.32266094093991327</v>
          </cell>
        </row>
        <row r="178">
          <cell r="A178" t="str">
            <v>CELC</v>
          </cell>
          <cell r="B178" t="str">
            <v>VAR_fin</v>
          </cell>
          <cell r="C178" t="str">
            <v>SUP_ELCH2_SOEC</v>
          </cell>
          <cell r="J178">
            <v>9.0482416800418243E-4</v>
          </cell>
          <cell r="K178">
            <v>7.4209218006473371E-4</v>
          </cell>
        </row>
        <row r="179">
          <cell r="A179" t="str">
            <v>CELC</v>
          </cell>
          <cell r="B179" t="str">
            <v>VAR_fin</v>
          </cell>
          <cell r="C179" t="str">
            <v>SUP_ELCH2</v>
          </cell>
          <cell r="I179">
            <v>6.4442155744646847E-3</v>
          </cell>
          <cell r="J179">
            <v>4.8621050708204574E-3</v>
          </cell>
          <cell r="K179">
            <v>0.22406884369155738</v>
          </cell>
        </row>
        <row r="180">
          <cell r="A180" t="str">
            <v>CELC</v>
          </cell>
          <cell r="B180" t="str">
            <v>VAR_fin</v>
          </cell>
          <cell r="C180" t="str">
            <v>CT_CWODBDS</v>
          </cell>
          <cell r="I180">
            <v>1.1070182997111978E-6</v>
          </cell>
          <cell r="J180">
            <v>8.7462870732944479E-7</v>
          </cell>
          <cell r="K180">
            <v>9.7793123942742685E-2</v>
          </cell>
        </row>
        <row r="181">
          <cell r="A181" t="str">
            <v>CELC</v>
          </cell>
          <cell r="B181" t="str">
            <v>VAR_fin</v>
          </cell>
          <cell r="C181" t="str">
            <v>CT_CWODETH</v>
          </cell>
          <cell r="I181">
            <v>2.3196499966904878E-5</v>
          </cell>
          <cell r="J181">
            <v>1.0042513435095566E-5</v>
          </cell>
          <cell r="K181">
            <v>5.6881125548450596E-5</v>
          </cell>
        </row>
        <row r="182">
          <cell r="A182" t="str">
            <v>SBIO</v>
          </cell>
          <cell r="B182" t="str">
            <v>VAR_fout</v>
          </cell>
          <cell r="C182" t="str">
            <v>D-SBIO</v>
          </cell>
          <cell r="I182">
            <v>2.9902037367918672</v>
          </cell>
          <cell r="J182">
            <v>2.9494347160453263</v>
          </cell>
          <cell r="K182">
            <v>2.8712695688230414</v>
          </cell>
        </row>
        <row r="183">
          <cell r="A183" t="str">
            <v>INGA</v>
          </cell>
          <cell r="B183" t="str">
            <v>VAR_fout</v>
          </cell>
          <cell r="C183" t="str">
            <v>D-INGA</v>
          </cell>
          <cell r="I183">
            <v>29.38387865731417</v>
          </cell>
          <cell r="J183">
            <v>29.49154830799058</v>
          </cell>
          <cell r="K183">
            <v>27.248434395057124</v>
          </cell>
        </row>
        <row r="184">
          <cell r="A184" t="str">
            <v>WSTREN</v>
          </cell>
          <cell r="B184" t="str">
            <v>VAR_fin</v>
          </cell>
          <cell r="C184" t="str">
            <v>D-CWST</v>
          </cell>
          <cell r="I184">
            <v>9.9576099370430597</v>
          </cell>
          <cell r="J184">
            <v>9.6812573278184448</v>
          </cell>
          <cell r="K184">
            <v>9.1285521612121485</v>
          </cell>
        </row>
        <row r="185">
          <cell r="A185" t="str">
            <v>SOLPVC</v>
          </cell>
          <cell r="B185" t="str">
            <v>VAR_fin</v>
          </cell>
          <cell r="C185" t="str">
            <v>ESOL-PV_A</v>
          </cell>
          <cell r="I185">
            <v>9.9070308512939692E-4</v>
          </cell>
          <cell r="J185">
            <v>9.8917169820446306E-4</v>
          </cell>
          <cell r="K185">
            <v>7.8439032543397105E-4</v>
          </cell>
        </row>
        <row r="186">
          <cell r="A186" t="str">
            <v>SOLPVC</v>
          </cell>
          <cell r="B186" t="str">
            <v>VAR_fin</v>
          </cell>
          <cell r="C186" t="str">
            <v>ESOL-PV_E</v>
          </cell>
          <cell r="I186">
            <v>3.1036845734007299E-6</v>
          </cell>
          <cell r="J186">
            <v>2.4212175478363201E-4</v>
          </cell>
          <cell r="K186">
            <v>2.4117286562802101E-4</v>
          </cell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3.732650395989618E-2</v>
          </cell>
          <cell r="I8">
            <v>3.6342983184765899E-2</v>
          </cell>
          <cell r="J8">
            <v>3.3983863726198625E-2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7.635218210018945E-5</v>
          </cell>
          <cell r="I9">
            <v>7.6282311156665415E-5</v>
          </cell>
          <cell r="J9">
            <v>7.7569927530466145E-5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6.6181744609744998E-4</v>
          </cell>
          <cell r="I10">
            <v>6.4437913448166597E-4</v>
          </cell>
          <cell r="J10">
            <v>6.0255077528720876E-4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1.2158950854046199E-6</v>
          </cell>
          <cell r="I11">
            <v>6.8219995966852305E-7</v>
          </cell>
          <cell r="J11">
            <v>1.39381471086811E-6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1.5081749979508299E-6</v>
          </cell>
          <cell r="I12">
            <v>1.5126396569776101E-6</v>
          </cell>
          <cell r="J12">
            <v>1.5135330514902501E-6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1.9086631588346463E-4</v>
          </cell>
          <cell r="I13">
            <v>1.6344049825138586E-4</v>
          </cell>
          <cell r="J13">
            <v>1.0605729391505561E-4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1.9086631588346463E-4</v>
          </cell>
          <cell r="I14">
            <v>1.6344049825138586E-4</v>
          </cell>
          <cell r="J14">
            <v>1.0605729391505561E-4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1.1654377655884499E-5</v>
          </cell>
          <cell r="I15">
            <v>1.060599091029E-5</v>
          </cell>
          <cell r="J15">
            <v>8.8254608371795208E-6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2.7911864875329127E-5</v>
          </cell>
          <cell r="I16">
            <v>2.4050156415508399E-5</v>
          </cell>
          <cell r="J16">
            <v>1.5805049103914801E-5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7.1886318857366193E-5</v>
          </cell>
          <cell r="I17">
            <v>7.5856914949095342E-5</v>
          </cell>
          <cell r="J17">
            <v>9.8850023904978817E-5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2.4073301872544706E-4</v>
          </cell>
          <cell r="I18">
            <v>2.4209140782373593E-4</v>
          </cell>
          <cell r="J18">
            <v>2.9313204889170604E-4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7.2516491400184796E-7</v>
          </cell>
          <cell r="I19">
            <v>1.0910970110323701E-6</v>
          </cell>
          <cell r="J19">
            <v>1.73999235716908E-6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1.4659124679410901E-6</v>
          </cell>
          <cell r="I20">
            <v>1.5863747195383401E-6</v>
          </cell>
          <cell r="J20">
            <v>1.93146748373175E-6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9.272131728180177E-3</v>
          </cell>
          <cell r="I21">
            <v>7.2158078749621059E-4</v>
          </cell>
          <cell r="J21">
            <v>4.7070161004013887E-4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9.272131728180177E-3</v>
          </cell>
          <cell r="I22">
            <v>7.2158078749621059E-4</v>
          </cell>
          <cell r="J22">
            <v>4.7070161004013887E-4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3.5597150134112097E-5</v>
          </cell>
          <cell r="I23">
            <v>3.3394547097561901E-5</v>
          </cell>
          <cell r="J23">
            <v>2.6512605216427399E-5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9.676248238461978E-4</v>
          </cell>
          <cell r="I24">
            <v>6.9515652847513897E-5</v>
          </cell>
          <cell r="J24">
            <v>4.8401609468545998E-5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44.558078373719049</v>
          </cell>
          <cell r="I25">
            <v>50.893644563809502</v>
          </cell>
          <cell r="J25">
            <v>54.035804686451257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2.60949407937339E-5</v>
          </cell>
          <cell r="I26">
            <v>3.02036329078192E-5</v>
          </cell>
          <cell r="J26">
            <v>0.26274761277022202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5.4828079508613534</v>
          </cell>
          <cell r="I27">
            <v>1.8410581553730252</v>
          </cell>
          <cell r="J27">
            <v>1.861112317157966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4.9345828255051283E-4</v>
          </cell>
          <cell r="I28">
            <v>3.743543630804827E-4</v>
          </cell>
          <cell r="J28">
            <v>2.4903432861004019E-4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1.1788155569551645E-2</v>
          </cell>
          <cell r="I29">
            <v>1.4498844752835034E-2</v>
          </cell>
          <cell r="J29">
            <v>8.1971915199359036E-2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39.063018188006332</v>
          </cell>
          <cell r="I30">
            <v>49.037752869970987</v>
          </cell>
          <cell r="J30">
            <v>52.355226530875399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5.4691609164527906</v>
          </cell>
          <cell r="I31">
            <v>4.6010771914275734</v>
          </cell>
          <cell r="J31">
            <v>4.1315638363254301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5.4691609164527906</v>
          </cell>
          <cell r="I32">
            <v>4.6010771914275734</v>
          </cell>
          <cell r="J32">
            <v>4.1315638363254301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0.121496209317295</v>
          </cell>
          <cell r="I33">
            <v>0.10297725520136999</v>
          </cell>
          <cell r="J33">
            <v>0.23629764082135499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0.3760486910762677</v>
          </cell>
          <cell r="I34">
            <v>0.31635884990319202</v>
          </cell>
          <cell r="J34">
            <v>0.28407782364530199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1.9597414697563491E-4</v>
          </cell>
          <cell r="I35">
            <v>1.6426416813560023E-4</v>
          </cell>
          <cell r="J35">
            <v>1.0653336460718858E-4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1.9597414697563491E-4</v>
          </cell>
          <cell r="I36">
            <v>1.6426416813560023E-4</v>
          </cell>
          <cell r="J36">
            <v>1.0653336460718858E-4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1.1799556773593299E-5</v>
          </cell>
          <cell r="I37">
            <v>1.04132265797168E-5</v>
          </cell>
          <cell r="J37">
            <v>8.9789472609415792E-6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2.869428633336E-5</v>
          </cell>
          <cell r="I38">
            <v>2.41584840741089E-5</v>
          </cell>
          <cell r="J38">
            <v>1.5874805856116E-5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1.716177060035038E-2</v>
          </cell>
          <cell r="I39">
            <v>8.3032377962830603E-4</v>
          </cell>
          <cell r="J39">
            <v>4.8343415065331776E-4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1.716177060035038E-2</v>
          </cell>
          <cell r="I40">
            <v>8.3032377962830603E-4</v>
          </cell>
          <cell r="J40">
            <v>4.8343415065331776E-4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2.9846505066898801E-5</v>
          </cell>
          <cell r="I41">
            <v>2.7999999714785599E-5</v>
          </cell>
          <cell r="J41">
            <v>3.0987176782339303E-5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1.8487976640572939E-3</v>
          </cell>
          <cell r="I42">
            <v>6.8944951825273502E-5</v>
          </cell>
          <cell r="J42">
            <v>4.8056919019437898E-5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7.3442064910922129E-4</v>
          </cell>
          <cell r="I43">
            <v>7.9838855963340345E-4</v>
          </cell>
          <cell r="J43">
            <v>4.952439296974691E-4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7.3442064910922129E-4</v>
          </cell>
          <cell r="I44">
            <v>7.9838855963340345E-4</v>
          </cell>
          <cell r="J44">
            <v>4.952439296974691E-4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4.3822282750946397E-5</v>
          </cell>
          <cell r="I45">
            <v>3.2297671031443301E-5</v>
          </cell>
          <cell r="J45">
            <v>2.7772855026115699E-5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7.1340733696662959E-5</v>
          </cell>
          <cell r="I46">
            <v>7.6945347087133505E-5</v>
          </cell>
          <cell r="J46">
            <v>5.0975793397308402E-5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0.24502520379948656</v>
          </cell>
          <cell r="J47">
            <v>0.26340034724627875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9.7093048137672113</v>
          </cell>
          <cell r="J48">
            <v>10.452559437065972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1.3344155162312699E-4</v>
          </cell>
          <cell r="I49">
            <v>1.3344660443847199E-4</v>
          </cell>
          <cell r="J49">
            <v>1.2803375143908601E-3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2.4975278078190198E-3</v>
          </cell>
          <cell r="I50">
            <v>2.6309744122574919E-3</v>
          </cell>
          <cell r="J50">
            <v>2.8282771611243202E-3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8.5192238135402967</v>
          </cell>
          <cell r="I51">
            <v>9.3844203389655547</v>
          </cell>
          <cell r="J51">
            <v>8.2353517259603173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8.5192238135402967</v>
          </cell>
          <cell r="I52">
            <v>9.3844203389655547</v>
          </cell>
          <cell r="J52">
            <v>8.2353517259603173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0.399047618894114</v>
          </cell>
          <cell r="I53">
            <v>0.23291299851502101</v>
          </cell>
          <cell r="J53">
            <v>0.40873349281091498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0.58575982541394311</v>
          </cell>
          <cell r="I54">
            <v>0.64524657142122899</v>
          </cell>
          <cell r="J54">
            <v>0.566241633304293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2.167722351158567E-3</v>
          </cell>
          <cell r="I55">
            <v>8.89532815009865E-4</v>
          </cell>
          <cell r="J55">
            <v>4.9819164177396496E-4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2.167722351158567E-3</v>
          </cell>
          <cell r="I56">
            <v>8.89532815009865E-4</v>
          </cell>
          <cell r="J56">
            <v>4.9819164177396496E-4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3.2895660693110203E-5</v>
          </cell>
          <cell r="I57">
            <v>2.7912800698547399E-5</v>
          </cell>
          <cell r="J57">
            <v>3.1910827052398197E-5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2.116613643767558E-4</v>
          </cell>
          <cell r="I58">
            <v>7.3607132637986994E-5</v>
          </cell>
          <cell r="J58">
            <v>4.9562307974847899E-5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1.3687874844933499E-8</v>
          </cell>
          <cell r="I62">
            <v>2.4244227178914499E-9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1.4301921119119735E-4</v>
          </cell>
          <cell r="I63">
            <v>1.0721276286038272E-4</v>
          </cell>
          <cell r="J63">
            <v>5.1449275886211196E-5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1.4380289810861771E-2</v>
          </cell>
          <cell r="I64">
            <v>1.0446243695360501E-2</v>
          </cell>
          <cell r="J64">
            <v>4.6086290808741003E-3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1.9485487548593183E-4</v>
          </cell>
          <cell r="I65">
            <v>1.4154801755231046E-4</v>
          </cell>
          <cell r="J65">
            <v>6.2447548521329059E-5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0.78561215309994403</v>
          </cell>
          <cell r="I66">
            <v>5.0947465027109617E-2</v>
          </cell>
          <cell r="J66">
            <v>2.0936255414668772E-2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6.5394680781777677E-3</v>
          </cell>
          <cell r="I67">
            <v>4.3492591615169754E-4</v>
          </cell>
          <cell r="J67">
            <v>2.0010325439288109E-4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1.0645151126015519E-2</v>
          </cell>
          <cell r="I68">
            <v>6.9034505456788166E-4</v>
          </cell>
          <cell r="J68">
            <v>2.8368909775973965E-4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2.0570539774001181E-4</v>
          </cell>
          <cell r="I69">
            <v>2.4192402460370961E-4</v>
          </cell>
          <cell r="J69">
            <v>2.0098955576110881E-4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2.0570539774001181E-4</v>
          </cell>
          <cell r="I70">
            <v>2.4192402460370961E-4</v>
          </cell>
          <cell r="J70">
            <v>2.0098955576110879E-4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2.0692637645563784E-4</v>
          </cell>
          <cell r="I71">
            <v>2.421005707984553E-4</v>
          </cell>
          <cell r="J71">
            <v>2.0161497224825372E-4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2.0692637645563784E-4</v>
          </cell>
          <cell r="I72">
            <v>2.421005707984553E-4</v>
          </cell>
          <cell r="J72">
            <v>2.0161497224825372E-4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1.0238768834822901E-3</v>
          </cell>
          <cell r="I73">
            <v>8.9071911495566098E-4</v>
          </cell>
          <cell r="J73">
            <v>7.2545673235703198E-4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3.2797164663491891E-3</v>
          </cell>
          <cell r="I74">
            <v>2.5716129422734711E-3</v>
          </cell>
          <cell r="J74">
            <v>1.8034624624289344E-3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443.27499222478122</v>
          </cell>
          <cell r="I75">
            <v>289.43644802119962</v>
          </cell>
          <cell r="J75">
            <v>150.67905538692614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3.4721266626867244</v>
          </cell>
          <cell r="I76">
            <v>2.394796804197818</v>
          </cell>
          <cell r="J76">
            <v>1.3978383569265176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6.0064362090078749</v>
          </cell>
          <cell r="I77">
            <v>3.9219030897181497</v>
          </cell>
          <cell r="J77">
            <v>2.0417216177090278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J78">
            <v>-3.0079154902326099E-9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1.9378740023462233E-3</v>
          </cell>
          <cell r="I79">
            <v>4.9762205970530274E-4</v>
          </cell>
          <cell r="J79">
            <v>3.6928281428067719E-4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1.9378740023462233E-3</v>
          </cell>
          <cell r="I80">
            <v>4.9762205970530274E-4</v>
          </cell>
          <cell r="J80">
            <v>3.6928281428067714E-4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1.9386138200873885E-3</v>
          </cell>
          <cell r="I81">
            <v>4.9798164209577769E-4</v>
          </cell>
          <cell r="J81">
            <v>3.6983814991981299E-4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1.9386138200873885E-3</v>
          </cell>
          <cell r="I82">
            <v>4.9798164209577769E-4</v>
          </cell>
          <cell r="J82">
            <v>3.6983814991981299E-4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2.8696805959719102E-3</v>
          </cell>
          <cell r="I83">
            <v>2.0253038377703401E-3</v>
          </cell>
          <cell r="J83">
            <v>1.6802031791657199E-3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1.6849453213012892E-2</v>
          </cell>
          <cell r="I84">
            <v>9.7519889452131747E-3</v>
          </cell>
          <cell r="J84">
            <v>4.3610056973410272E-3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1.5634136062213448</v>
          </cell>
          <cell r="I85">
            <v>6.0377775177758899E-2</v>
          </cell>
          <cell r="J85">
            <v>2.1411279641547619E-2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1.1282648016036362E-2</v>
          </cell>
          <cell r="I86">
            <v>4.5562118550271006E-4</v>
          </cell>
          <cell r="J86">
            <v>1.7935826670558409E-4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2.1184466208961302E-2</v>
          </cell>
          <cell r="I87">
            <v>8.1812703492898156E-4</v>
          </cell>
          <cell r="J87">
            <v>2.9012574040037444E-4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3.4734148580650284</v>
          </cell>
          <cell r="I88">
            <v>4.3546907038248257</v>
          </cell>
          <cell r="J88">
            <v>4.8212400634780943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3.4734148580650279</v>
          </cell>
          <cell r="I89">
            <v>4.3546907038248248</v>
          </cell>
          <cell r="J89">
            <v>4.8212400634780943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3.4737630522821079</v>
          </cell>
          <cell r="I90">
            <v>4.3551263391455635</v>
          </cell>
          <cell r="J90">
            <v>4.8217224851926153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3.4737630522821079</v>
          </cell>
          <cell r="I91">
            <v>4.3551263391455635</v>
          </cell>
          <cell r="J91">
            <v>4.8217224851926153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43.601209556541598</v>
          </cell>
          <cell r="I92">
            <v>27.492653576117501</v>
          </cell>
          <cell r="J92">
            <v>50.4219155142804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71.950419074119011</v>
          </cell>
          <cell r="I93">
            <v>62.365294339467098</v>
          </cell>
          <cell r="J93">
            <v>70.5336310811972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386.85508010703171</v>
          </cell>
          <cell r="I94">
            <v>224.89288676769715</v>
          </cell>
          <cell r="J94">
            <v>201.62037498392235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2.4317910499862028</v>
          </cell>
          <cell r="I95">
            <v>1.4136883225003518</v>
          </cell>
          <cell r="J95">
            <v>1.2673961092746009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5.2776954994137961</v>
          </cell>
          <cell r="I96">
            <v>3.0681157812782769</v>
          </cell>
          <cell r="J96">
            <v>2.7506190311585623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9.24997946859029E-2</v>
          </cell>
          <cell r="I97">
            <v>5.8336240682651001E-6</v>
          </cell>
          <cell r="J97">
            <v>0.109328743905869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0.20918551881469699</v>
          </cell>
          <cell r="I98">
            <v>0.109576943584234</v>
          </cell>
          <cell r="J98">
            <v>0.12556433232882699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H99">
            <v>8.539436400866999E-6</v>
          </cell>
          <cell r="I99">
            <v>8.3869486223444837E-6</v>
          </cell>
          <cell r="J99">
            <v>8.5237635005272134E-6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H100">
            <v>4.382959766667331E-5</v>
          </cell>
          <cell r="I100">
            <v>4.2421623250295996E-5</v>
          </cell>
          <cell r="J100">
            <v>3.8937329764109171E-5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1.8418368039227301E-7</v>
          </cell>
          <cell r="I101">
            <v>7.7632816898606797E-8</v>
          </cell>
          <cell r="J101">
            <v>1.76992305320318E-7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1.93308604084012E-7</v>
          </cell>
          <cell r="I102">
            <v>2.0342774906854299E-7</v>
          </cell>
          <cell r="J102">
            <v>1.90615982491802E-7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4.8437642030330613E-3</v>
          </cell>
          <cell r="I103">
            <v>7.4762882896912486E-4</v>
          </cell>
          <cell r="J103">
            <v>4.9861683311747573E-4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4.8437642030330604E-3</v>
          </cell>
          <cell r="I104">
            <v>7.4762882896912475E-4</v>
          </cell>
          <cell r="J104">
            <v>4.9861683311747563E-4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4.8450748017832748E-3</v>
          </cell>
          <cell r="I105">
            <v>7.4829255497155082E-4</v>
          </cell>
          <cell r="J105">
            <v>4.9891209797185612E-4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4.8450748017832748E-3</v>
          </cell>
          <cell r="I106">
            <v>7.4829255497155082E-4</v>
          </cell>
          <cell r="J106">
            <v>4.9891209797185612E-4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5.35017442254755E-3</v>
          </cell>
          <cell r="I107">
            <v>4.6211115196679604E-3</v>
          </cell>
          <cell r="J107">
            <v>4.9629811122649898E-3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2.3188463315006718E-2</v>
          </cell>
          <cell r="I108">
            <v>1.6374557010369328E-2</v>
          </cell>
          <cell r="J108">
            <v>1.0569455709560617E-2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3.3098929077496252E-2</v>
          </cell>
          <cell r="I113">
            <v>3.3880933670115479E-2</v>
          </cell>
          <cell r="J113">
            <v>3.6423625635393128E-2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1.9814933689515257</v>
          </cell>
          <cell r="I114">
            <v>2.0283086876930034</v>
          </cell>
          <cell r="J114">
            <v>2.1805289379822974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1.3422739800855401E-4</v>
          </cell>
          <cell r="I115">
            <v>7.2191783412194505E-5</v>
          </cell>
          <cell r="J115">
            <v>1.4957505345219899E-3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3.0556059523282118E-3</v>
          </cell>
          <cell r="I116">
            <v>3.127797735740406E-3</v>
          </cell>
          <cell r="J116">
            <v>3.3625299828920797E-3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2.1635593183031978E-3</v>
          </cell>
          <cell r="I121">
            <v>1.247016394525453E-3</v>
          </cell>
          <cell r="J121">
            <v>5.9366649571056902E-4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2.3848080626585177E-5</v>
          </cell>
          <cell r="I122">
            <v>1.3941321980771659E-5</v>
          </cell>
          <cell r="J122">
            <v>7.3203487767654551E-6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3.8360980820978647E-5</v>
          </cell>
          <cell r="I123">
            <v>2.2110219761089585E-5</v>
          </cell>
          <cell r="J123">
            <v>1.0526001696995906E-5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1.4931789391954699E-6</v>
          </cell>
          <cell r="I124">
            <v>7.9617109734238498E-7</v>
          </cell>
          <cell r="J124">
            <v>6.2066108912855105E-7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3.6433989453217281E-6</v>
          </cell>
          <cell r="I125">
            <v>2.0423777993783736E-6</v>
          </cell>
          <cell r="J125">
            <v>1.30508944683898E-6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28.6935093739819</v>
          </cell>
          <cell r="I126">
            <v>29.073110336763513</v>
          </cell>
          <cell r="J126">
            <v>27.88403477479352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28.6935093739819</v>
          </cell>
          <cell r="I127">
            <v>29.073110336763513</v>
          </cell>
          <cell r="J127">
            <v>27.88403477479352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10.840236737326499</v>
          </cell>
          <cell r="I128">
            <v>6.9351996634697999</v>
          </cell>
          <cell r="J128">
            <v>17.045916218839999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20.893007189694607</v>
          </cell>
          <cell r="I129">
            <v>23.965371354960599</v>
          </cell>
          <cell r="J129">
            <v>26.664385268576901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3.3592530455433516E-3</v>
          </cell>
          <cell r="I130">
            <v>3.4828577522725696E-3</v>
          </cell>
          <cell r="J130">
            <v>1.7662872425764811E-3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2.9115680899586241E-5</v>
          </cell>
          <cell r="I131">
            <v>3.1092144190170356E-5</v>
          </cell>
          <cell r="J131">
            <v>1.7221888616583877E-5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5.9561224211761558E-5</v>
          </cell>
          <cell r="I132">
            <v>6.1752797026109514E-5</v>
          </cell>
          <cell r="J132">
            <v>3.1317149691072314E-5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2.0318364753922699E-6</v>
          </cell>
          <cell r="I133">
            <v>9.7355932355810304E-7</v>
          </cell>
          <cell r="J133">
            <v>7.2397055745252703E-7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2.7026738022501356E-6</v>
          </cell>
          <cell r="I134">
            <v>2.7442347177250106E-6</v>
          </cell>
          <cell r="J134">
            <v>1.6174344191895901E-6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8.8251807529288004E-2</v>
          </cell>
          <cell r="I135">
            <v>6.3654382985605565E-2</v>
          </cell>
          <cell r="J135">
            <v>2.3724867153648611E-2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4.1189937506596935E-4</v>
          </cell>
          <cell r="I136">
            <v>2.9709533782953403E-4</v>
          </cell>
          <cell r="J136">
            <v>1.1073153318551482E-4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1.2039810031280751E-3</v>
          </cell>
          <cell r="I137">
            <v>8.6840904482408813E-4</v>
          </cell>
          <cell r="J137">
            <v>3.2366803756682968E-4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2.1809102286870499E-5</v>
          </cell>
          <cell r="I138">
            <v>3.6452622357235601E-6</v>
          </cell>
          <cell r="J138">
            <v>4.3150707715782198E-6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3.7778346256183099E-5</v>
          </cell>
          <cell r="I139">
            <v>2.7422423265894999E-5</v>
          </cell>
          <cell r="J139">
            <v>9.9704386859070799E-6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9.9295719101465257E-3</v>
          </cell>
          <cell r="I140">
            <v>7.7632920624421311E-3</v>
          </cell>
          <cell r="J140">
            <v>4.1149306904707701E-3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8.3637198105503097E-5</v>
          </cell>
          <cell r="I141">
            <v>6.6351649720619024E-5</v>
          </cell>
          <cell r="J141">
            <v>3.8709934544191103E-5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1.7605623954160496E-4</v>
          </cell>
          <cell r="I142">
            <v>1.3764702238372583E-4</v>
          </cell>
          <cell r="J142">
            <v>7.2959764015439216E-5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3.7575243707766802E-6</v>
          </cell>
          <cell r="I143">
            <v>1.6556426426797501E-6</v>
          </cell>
          <cell r="J143">
            <v>1.43712643401961E-6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6.3343774259590408E-6</v>
          </cell>
          <cell r="I144">
            <v>4.9092707584819471E-6</v>
          </cell>
          <cell r="J144">
            <v>3.0018136619071601E-6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7.041695575911236E-3</v>
          </cell>
          <cell r="I145">
            <v>8.5071013308592007E-3</v>
          </cell>
          <cell r="J145">
            <v>6.22680389406958E-3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5.9910148297073718E-5</v>
          </cell>
          <cell r="I146">
            <v>7.3480406612866351E-5</v>
          </cell>
          <cell r="J146">
            <v>6.1312628095634204E-5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1.248527584381427E-4</v>
          </cell>
          <cell r="I147">
            <v>1.5083512997977297E-4</v>
          </cell>
          <cell r="J147">
            <v>1.104043243629358E-4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4.7388846760618101E-6</v>
          </cell>
          <cell r="I148">
            <v>2.2673831369838998E-6</v>
          </cell>
          <cell r="J148">
            <v>4.2360120775580899E-6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5.3923933626997861E-6</v>
          </cell>
          <cell r="I149">
            <v>6.3348642987571797E-6</v>
          </cell>
          <cell r="J149">
            <v>5.9449120121432896E-6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18.240715845179508</v>
          </cell>
          <cell r="I150">
            <v>9.0474645900888024</v>
          </cell>
          <cell r="J150">
            <v>7.3378737204209902E-3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0.15064996285010199</v>
          </cell>
          <cell r="I151">
            <v>7.4740053031523673E-2</v>
          </cell>
          <cell r="J151">
            <v>7.3785992111471954E-5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0.24716417134389576</v>
          </cell>
          <cell r="I152">
            <v>0.12259437113941464</v>
          </cell>
          <cell r="J152">
            <v>9.9429183203536691E-5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H153">
            <v>1.9536691321327099E-5</v>
          </cell>
          <cell r="I153">
            <v>8.05916469974773E-6</v>
          </cell>
          <cell r="J153">
            <v>2.4259108816108102E-6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2.2894176200994001E-2</v>
          </cell>
          <cell r="I154">
            <v>1.13578897686231E-2</v>
          </cell>
          <cell r="J154">
            <v>1.10230227886196E-5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3.9722808398016715E-2</v>
          </cell>
          <cell r="I157">
            <v>3.1571323186933162E-2</v>
          </cell>
          <cell r="J157">
            <v>1.041075926539026E-2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2.7610891219099977E-4</v>
          </cell>
          <cell r="I158">
            <v>2.3669704919488722E-4</v>
          </cell>
          <cell r="J158">
            <v>8.7204785917689069E-5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5.3824943628748918E-4</v>
          </cell>
          <cell r="I159">
            <v>4.2779570714001621E-4</v>
          </cell>
          <cell r="J159">
            <v>1.4106719871802525E-4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H160">
            <v>1.3763338100497599E-5</v>
          </cell>
          <cell r="I160">
            <v>6.4457405073857596E-6</v>
          </cell>
          <cell r="J160">
            <v>2.3470842295817098E-6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2.6638539315726401E-5</v>
          </cell>
          <cell r="I161">
            <v>2.2909377376739301E-5</v>
          </cell>
          <cell r="J161">
            <v>8.6985996953693405E-6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14.854616635554631</v>
          </cell>
          <cell r="I162">
            <v>8.4623604683157225</v>
          </cell>
          <cell r="J162">
            <v>0.74900486872737926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0.13276234017266927</v>
          </cell>
          <cell r="I163">
            <v>7.6408346709159358E-2</v>
          </cell>
          <cell r="J163">
            <v>7.2241604071312674E-3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0.20265507006213646</v>
          </cell>
          <cell r="I164">
            <v>0.11544830106842739</v>
          </cell>
          <cell r="J164">
            <v>1.0218347458763681E-2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H165">
            <v>4.2919663171361502E-3</v>
          </cell>
          <cell r="I165">
            <v>4.2440618970303201E-5</v>
          </cell>
          <cell r="J165">
            <v>5.4711953439766501E-6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2.0175534885024899E-2</v>
          </cell>
          <cell r="I166">
            <v>1.16111815831734E-2</v>
          </cell>
          <cell r="J166">
            <v>1.0975623460687601E-3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3.9363319057072826E-2</v>
          </cell>
          <cell r="I167">
            <v>3.3485070461594504E-2</v>
          </cell>
          <cell r="J167">
            <v>1.1747201685444641E-2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2.5403530371917633E-4</v>
          </cell>
          <cell r="I168">
            <v>2.3639687453490165E-4</v>
          </cell>
          <cell r="J168">
            <v>9.4535069164890966E-5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5.3337830700640721E-4</v>
          </cell>
          <cell r="I169">
            <v>4.5372724202702756E-4</v>
          </cell>
          <cell r="J169">
            <v>1.5917617459952079E-4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H170">
            <v>9.5365339631974897E-6</v>
          </cell>
          <cell r="I170">
            <v>6.2863283770363997E-6</v>
          </cell>
          <cell r="J170">
            <v>2.9977088984414202E-6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1.9285590877484202E-5</v>
          </cell>
          <cell r="I171">
            <v>1.7760176719092101E-5</v>
          </cell>
          <cell r="J171">
            <v>8.1181082367419797E-6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5.6714221880057814E-2</v>
          </cell>
          <cell r="I172">
            <v>6.8239283890706215E-2</v>
          </cell>
          <cell r="J172">
            <v>2.6444529160480422E-2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4.2756494404262436E-4</v>
          </cell>
          <cell r="I173">
            <v>5.4892334779299697E-4</v>
          </cell>
          <cell r="J173">
            <v>2.302429090484029E-4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7.7372744720406413E-4</v>
          </cell>
          <cell r="I174">
            <v>9.3095885253350827E-4</v>
          </cell>
          <cell r="J174">
            <v>3.6077120273506725E-4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H175">
            <v>2.9631502371194E-5</v>
          </cell>
          <cell r="I175">
            <v>2.0337154980489801E-5</v>
          </cell>
          <cell r="J175">
            <v>6.4106522177117297E-6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4.1065326258254802E-5</v>
          </cell>
          <cell r="I176">
            <v>4.9428888574537499E-5</v>
          </cell>
          <cell r="J176">
            <v>2.3152880414790101E-5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5.7670087802412837</v>
          </cell>
          <cell r="I177">
            <v>21.615416167389462</v>
          </cell>
          <cell r="J177">
            <v>32.488604205218763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4.0544301585037225E-2</v>
          </cell>
          <cell r="I178">
            <v>0.16445283560892876</v>
          </cell>
          <cell r="J178">
            <v>0.29354656860410028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7.814375040977356E-2</v>
          </cell>
          <cell r="I179">
            <v>0.29289181798630692</v>
          </cell>
          <cell r="J179">
            <v>0.44022498923060671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H180">
            <v>4.62940659623231E-3</v>
          </cell>
          <cell r="I180">
            <v>1.51450784764367E-2</v>
          </cell>
          <cell r="J180">
            <v>2.8358556550807001E-2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4.5536165924714303E-3</v>
          </cell>
          <cell r="I181">
            <v>1.84842628126516E-2</v>
          </cell>
          <cell r="J181">
            <v>3.301764074513E-2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7.2088396897968032E-2</v>
          </cell>
          <cell r="I182">
            <v>11.257978130574582</v>
          </cell>
          <cell r="J182">
            <v>21.242495243875062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5.1100243437722059E-4</v>
          </cell>
          <cell r="I183">
            <v>9.01685786106666E-2</v>
          </cell>
          <cell r="J183">
            <v>0.19749572672350127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9.8347062616600247E-4</v>
          </cell>
          <cell r="I184">
            <v>0.15358769618792101</v>
          </cell>
          <cell r="J184">
            <v>0.28980211792462568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H185">
            <v>2.8342225491411598E-5</v>
          </cell>
          <cell r="I185">
            <v>6.4342062500075499E-3</v>
          </cell>
          <cell r="J185">
            <v>1.20924177660754E-2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3.6613014467840097E-5</v>
          </cell>
          <cell r="I186">
            <v>6.20102283955834E-3</v>
          </cell>
          <cell r="J186">
            <v>1.3581339000064901E-2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1.4843604990515535</v>
          </cell>
          <cell r="I187">
            <v>8.8954778332494389</v>
          </cell>
          <cell r="J187">
            <v>13.245072777134293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3.9295050656548087E-3</v>
          </cell>
          <cell r="I188">
            <v>2.457635313030904E-2</v>
          </cell>
          <cell r="J188">
            <v>3.984621721328984E-2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2.0250484298111292E-2</v>
          </cell>
          <cell r="I189">
            <v>0.1213571327864863</v>
          </cell>
          <cell r="J189">
            <v>0.18069676367168228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1.07412147475012E-4</v>
          </cell>
          <cell r="I190">
            <v>4.2648552155534199E-4</v>
          </cell>
          <cell r="J190">
            <v>7.6010797067767202E-4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1.10420761874825E-4</v>
          </cell>
          <cell r="I191">
            <v>5.3426304737555497E-4</v>
          </cell>
          <cell r="J191">
            <v>9.9284232712107011E-4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1.6840315310046317E-2</v>
          </cell>
          <cell r="I192">
            <v>2.0151111046872491E-2</v>
          </cell>
          <cell r="J192">
            <v>1.266362592653582E-2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1.0958346679347736E-4</v>
          </cell>
          <cell r="I193">
            <v>1.437201795522943E-4</v>
          </cell>
          <cell r="J193">
            <v>1.0366060639168985E-4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2.297450929064979E-4</v>
          </cell>
          <cell r="I194">
            <v>2.7491283829293934E-4</v>
          </cell>
          <cell r="J194">
            <v>1.7276433733336757E-4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H195">
            <v>5.8309554923918896E-6</v>
          </cell>
          <cell r="I195">
            <v>6.3518239453778799E-6</v>
          </cell>
          <cell r="J195">
            <v>5.5784458213585498E-6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1.00342957066579E-5</v>
          </cell>
          <cell r="I196">
            <v>1.2499001626074101E-5</v>
          </cell>
          <cell r="J196">
            <v>9.4287576049975306E-6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18.739530535249056</v>
          </cell>
          <cell r="I197">
            <v>6.7597930882836668</v>
          </cell>
          <cell r="J197">
            <v>1.9313986737467217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3.3464575950845635E-2</v>
          </cell>
          <cell r="I198">
            <v>1.2948366474838468E-2</v>
          </cell>
          <cell r="J198">
            <v>3.8650587152661074E-3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0.25565525968961916</v>
          </cell>
          <cell r="I199">
            <v>9.2220915256257391E-2</v>
          </cell>
          <cell r="J199">
            <v>2.634923156543956E-2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2.1346313880765102E-6</v>
          </cell>
          <cell r="I200">
            <v>1.6619974453790199E-4</v>
          </cell>
          <cell r="J200">
            <v>3.0688530975917699E-7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7.2730337844284423E-4</v>
          </cell>
          <cell r="I201">
            <v>2.8139202067796899E-4</v>
          </cell>
          <cell r="J201">
            <v>8.4031539939623904E-5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3555.1171915365398</v>
          </cell>
          <cell r="I205">
            <v>2721.4743823351801</v>
          </cell>
          <cell r="J205">
            <v>2008.7950045066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47.788142114092551</v>
          </cell>
          <cell r="I206">
            <v>36.582255249561953</v>
          </cell>
          <cell r="J206">
            <v>27.002367568071712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48.500916664891413</v>
          </cell>
          <cell r="I207">
            <v>37.127890618488088</v>
          </cell>
          <cell r="J207">
            <v>27.405116023282371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9.9420565020175502</v>
          </cell>
          <cell r="I208">
            <v>9.1386330769653004</v>
          </cell>
          <cell r="J208">
            <v>2.3271590186411029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1.2205928415130156E-2</v>
          </cell>
          <cell r="I209">
            <v>1.2149744261605656E-2</v>
          </cell>
          <cell r="J209">
            <v>3.135293735935186E-3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0.13563515009573751</v>
          </cell>
          <cell r="I210">
            <v>0.12467439395587039</v>
          </cell>
          <cell r="J210">
            <v>3.174841771679536E-2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6.5590487991608901E-5</v>
          </cell>
          <cell r="I211">
            <v>1.9843168870139601E-4</v>
          </cell>
          <cell r="J211">
            <v>1.79812369724114E-7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2.6526090700669102E-4</v>
          </cell>
          <cell r="I212">
            <v>2.64022176693005E-4</v>
          </cell>
          <cell r="J212">
            <v>6.8146881777311698E-5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2.3964749451759167E-3</v>
          </cell>
          <cell r="I213">
            <v>4.1547410164769647E-3</v>
          </cell>
          <cell r="J213">
            <v>0.27703165849524264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2.3964749451759167E-3</v>
          </cell>
          <cell r="I214">
            <v>4.1547410164769639E-3</v>
          </cell>
          <cell r="J214">
            <v>0.27703165849524264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2.4018932851971944E-3</v>
          </cell>
          <cell r="I215">
            <v>4.1591636799778575E-3</v>
          </cell>
          <cell r="J215">
            <v>0.27706294877807874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2.4018932851971944E-3</v>
          </cell>
          <cell r="I216">
            <v>4.1591636799778575E-3</v>
          </cell>
          <cell r="J216">
            <v>0.27706294877807874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8.4450374229972595E-3</v>
          </cell>
          <cell r="I217">
            <v>8.1357444777530902E-2</v>
          </cell>
          <cell r="J217">
            <v>7.3449338819782604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2.5711609399287974E-2</v>
          </cell>
          <cell r="I218">
            <v>8.7573547644604455E-2</v>
          </cell>
          <cell r="J218">
            <v>6.311870286633952</v>
          </cell>
        </row>
        <row r="219">
          <cell r="A219" t="str">
            <v>TFHGV-ICEDSLExt</v>
          </cell>
          <cell r="B219" t="str">
            <v>VAR_fout</v>
          </cell>
          <cell r="C219" t="str">
            <v>CO2_T</v>
          </cell>
        </row>
        <row r="220">
          <cell r="A220" t="str">
            <v>TFHGV-ICEDSLExt</v>
          </cell>
          <cell r="B220" t="str">
            <v>VAR_fout</v>
          </cell>
          <cell r="C220" t="str">
            <v>TFHGV</v>
          </cell>
        </row>
        <row r="221">
          <cell r="A221" t="str">
            <v>TFHGV-ICEDSLExt</v>
          </cell>
          <cell r="B221" t="str">
            <v>VAR_fin</v>
          </cell>
          <cell r="C221" t="str">
            <v>TDSL</v>
          </cell>
        </row>
        <row r="222">
          <cell r="A222" t="str">
            <v>TFHGV-ICEDSLExt</v>
          </cell>
          <cell r="B222" t="str">
            <v>VAR_cap</v>
          </cell>
          <cell r="C222" t="str">
            <v>-</v>
          </cell>
        </row>
        <row r="223">
          <cell r="A223" t="str">
            <v>TPSHPGSLEXT</v>
          </cell>
          <cell r="B223" t="str">
            <v>VAR_fout</v>
          </cell>
          <cell r="C223" t="str">
            <v>TPSHP</v>
          </cell>
          <cell r="H223">
            <v>5.1865167667639904E-3</v>
          </cell>
          <cell r="I223">
            <v>1.81841842740668E-3</v>
          </cell>
        </row>
        <row r="224">
          <cell r="A224" t="str">
            <v>TPSHPGSLEXT</v>
          </cell>
          <cell r="B224" t="str">
            <v>VAR_fout</v>
          </cell>
          <cell r="C224" t="str">
            <v>CO2_T</v>
          </cell>
          <cell r="H224">
            <v>0.422285697640994</v>
          </cell>
          <cell r="I224">
            <v>0.14805545393035999</v>
          </cell>
        </row>
        <row r="225">
          <cell r="A225" t="str">
            <v>TPSHPGSLEXT</v>
          </cell>
          <cell r="B225" t="str">
            <v>VAR_fin</v>
          </cell>
          <cell r="C225" t="str">
            <v>TGSL</v>
          </cell>
          <cell r="H225">
            <v>5.7220284233197227E-3</v>
          </cell>
          <cell r="I225">
            <v>2.0061714624710104E-3</v>
          </cell>
        </row>
        <row r="226">
          <cell r="A226" t="str">
            <v>TPSHPGSLEXT</v>
          </cell>
          <cell r="B226" t="str">
            <v>VAR_ncap</v>
          </cell>
          <cell r="C226" t="str">
            <v>-</v>
          </cell>
          <cell r="H226">
            <v>1.9437995985981598E-6</v>
          </cell>
          <cell r="I226">
            <v>2.18213214030116E-6</v>
          </cell>
          <cell r="J226">
            <v>2.0441885379557799E-7</v>
          </cell>
        </row>
        <row r="227">
          <cell r="A227" t="str">
            <v>TPSHPGSLEXT</v>
          </cell>
          <cell r="B227" t="str">
            <v>VAR_cap</v>
          </cell>
          <cell r="C227" t="str">
            <v>-</v>
          </cell>
          <cell r="H227">
            <v>5.1854604136873927E-3</v>
          </cell>
          <cell r="I227">
            <v>1.8173294742694912E-3</v>
          </cell>
          <cell r="J227">
            <v>4.8790566851736035E-7</v>
          </cell>
        </row>
        <row r="228">
          <cell r="A228" t="str">
            <v>T-Bat-Car-STG_S2</v>
          </cell>
          <cell r="B228" t="str">
            <v>VAR_fout</v>
          </cell>
          <cell r="C228" t="str">
            <v>T-ELC-car-BatSTGAUXout_S2</v>
          </cell>
          <cell r="H228">
            <v>9.8596492075793964</v>
          </cell>
          <cell r="I228">
            <v>11.01693377516251</v>
          </cell>
          <cell r="J228">
            <v>9.8188042186039795</v>
          </cell>
        </row>
        <row r="229">
          <cell r="A229" t="str">
            <v>T-Bat-Car-STG_S2</v>
          </cell>
          <cell r="B229" t="str">
            <v>VAR_fout</v>
          </cell>
          <cell r="C229" t="str">
            <v>T-ELC-car-BatSTGOut_S2</v>
          </cell>
          <cell r="H229">
            <v>9.8596492075793929</v>
          </cell>
          <cell r="I229">
            <v>11.016933775162506</v>
          </cell>
          <cell r="J229">
            <v>9.8188042186039759</v>
          </cell>
        </row>
        <row r="230">
          <cell r="A230" t="str">
            <v>T-Bat-Car-STG_S2</v>
          </cell>
          <cell r="B230" t="str">
            <v>VAR_fin</v>
          </cell>
          <cell r="C230" t="str">
            <v>T-ELC-car-BatSTGAUXin_S2</v>
          </cell>
          <cell r="H230">
            <v>9.860639927274045</v>
          </cell>
          <cell r="I230">
            <v>11.018039762753299</v>
          </cell>
          <cell r="J230">
            <v>9.8197893736098258</v>
          </cell>
        </row>
        <row r="231">
          <cell r="A231" t="str">
            <v>T-Bat-Car-STG_S2</v>
          </cell>
          <cell r="B231" t="str">
            <v>VAR_fin</v>
          </cell>
          <cell r="C231" t="str">
            <v>T-ELC-car-BatSTGin_S2</v>
          </cell>
          <cell r="H231">
            <v>9.860639927274045</v>
          </cell>
          <cell r="I231">
            <v>11.018039762753299</v>
          </cell>
          <cell r="J231">
            <v>9.8197893736098258</v>
          </cell>
        </row>
        <row r="232">
          <cell r="A232" t="str">
            <v>T-Bat-Car-STG_S2</v>
          </cell>
          <cell r="B232" t="str">
            <v>VAR_ncap</v>
          </cell>
          <cell r="C232" t="str">
            <v>-</v>
          </cell>
          <cell r="H232">
            <v>128.41911781768201</v>
          </cell>
          <cell r="I232">
            <v>101.329060202062</v>
          </cell>
          <cell r="J232">
            <v>160.48230283477901</v>
          </cell>
        </row>
        <row r="233">
          <cell r="A233" t="str">
            <v>T-Bat-Car-STG_S2</v>
          </cell>
          <cell r="B233" t="str">
            <v>VAR_cap</v>
          </cell>
          <cell r="C233" t="str">
            <v>-</v>
          </cell>
          <cell r="H233">
            <v>170.26263580378941</v>
          </cell>
          <cell r="I233">
            <v>170.5001250126974</v>
          </cell>
          <cell r="J233">
            <v>178.99103994373928</v>
          </cell>
        </row>
        <row r="234">
          <cell r="A234" t="str">
            <v>T_TW-ICEGSL-S1</v>
          </cell>
          <cell r="B234" t="str">
            <v>VAR_fout</v>
          </cell>
          <cell r="C234" t="str">
            <v>CO2_T</v>
          </cell>
          <cell r="H234">
            <v>63.061347810930769</v>
          </cell>
          <cell r="I234">
            <v>66.200550134672483</v>
          </cell>
          <cell r="J234">
            <v>65.110900086770627</v>
          </cell>
        </row>
        <row r="235">
          <cell r="A235" t="str">
            <v>T_TW-ICEGSL-S1</v>
          </cell>
          <cell r="B235" t="str">
            <v>VAR_fout</v>
          </cell>
          <cell r="C235" t="str">
            <v>TPTWL</v>
          </cell>
          <cell r="H235">
            <v>1.7298008228615138</v>
          </cell>
          <cell r="I235">
            <v>1.8530762869995252</v>
          </cell>
          <cell r="J235">
            <v>1.9058058168662089</v>
          </cell>
        </row>
        <row r="236">
          <cell r="A236" t="str">
            <v>T_TW-ICEGSL-S1</v>
          </cell>
          <cell r="B236" t="str">
            <v>VAR_fin</v>
          </cell>
          <cell r="C236" t="str">
            <v>TGSL</v>
          </cell>
          <cell r="H236">
            <v>0.85448980773618932</v>
          </cell>
          <cell r="I236">
            <v>0.89702642458905668</v>
          </cell>
          <cell r="J236">
            <v>0.88226151879093062</v>
          </cell>
        </row>
        <row r="237">
          <cell r="A237" t="str">
            <v>T_TW-ICEGSL-S1</v>
          </cell>
          <cell r="B237" t="str">
            <v>VAR_ncap</v>
          </cell>
          <cell r="C237" t="str">
            <v>-</v>
          </cell>
          <cell r="H237">
            <v>0.38949551471752802</v>
          </cell>
          <cell r="I237">
            <v>0.31286320872978302</v>
          </cell>
          <cell r="J237">
            <v>0.57225667262437996</v>
          </cell>
        </row>
        <row r="238">
          <cell r="A238" t="str">
            <v>T_TW-ICEGSL-S1</v>
          </cell>
          <cell r="B238" t="str">
            <v>VAR_cap</v>
          </cell>
          <cell r="C238" t="str">
            <v>-</v>
          </cell>
          <cell r="H238">
            <v>0.68552240116271213</v>
          </cell>
          <cell r="I238">
            <v>0.7442987291012414</v>
          </cell>
          <cell r="J238">
            <v>0.7975112378962782</v>
          </cell>
        </row>
        <row r="239">
          <cell r="A239" t="str">
            <v>TPSHPDSLEXT</v>
          </cell>
          <cell r="B239" t="str">
            <v>VAR_fout</v>
          </cell>
          <cell r="C239" t="str">
            <v>TPSHP</v>
          </cell>
          <cell r="H239">
            <v>16.0568989830889</v>
          </cell>
          <cell r="I239">
            <v>8.0038544809028007</v>
          </cell>
          <cell r="J239">
            <v>2.0189436504402498</v>
          </cell>
        </row>
        <row r="240">
          <cell r="A240" t="str">
            <v>TPSHPDSLEXT</v>
          </cell>
          <cell r="B240" t="str">
            <v>VAR_fout</v>
          </cell>
          <cell r="C240" t="str">
            <v>CO2_T</v>
          </cell>
          <cell r="H240">
            <v>1190.9406915997099</v>
          </cell>
          <cell r="I240">
            <v>593.64613310384505</v>
          </cell>
          <cell r="J240">
            <v>149.745112670167</v>
          </cell>
        </row>
        <row r="241">
          <cell r="A241" t="str">
            <v>TPSHPDSLEXT</v>
          </cell>
          <cell r="B241" t="str">
            <v>VAR_fin</v>
          </cell>
          <cell r="C241" t="str">
            <v>TDSL</v>
          </cell>
          <cell r="H241">
            <v>16.247485560705424</v>
          </cell>
          <cell r="I241">
            <v>8.0988558404344406</v>
          </cell>
          <cell r="J241">
            <v>2.0429074034129351</v>
          </cell>
        </row>
        <row r="242">
          <cell r="A242" t="str">
            <v>TPSHPDSLEXT</v>
          </cell>
          <cell r="B242" t="str">
            <v>VAR_ncap</v>
          </cell>
          <cell r="C242" t="str">
            <v>-</v>
          </cell>
          <cell r="H242">
            <v>3.63589360825209E-6</v>
          </cell>
          <cell r="I242">
            <v>2.3851594599300601</v>
          </cell>
          <cell r="J242">
            <v>3.8322428285589099E-7</v>
          </cell>
        </row>
        <row r="243">
          <cell r="A243" t="str">
            <v>TPSHPDSLEXT</v>
          </cell>
          <cell r="B243" t="str">
            <v>VAR_cap</v>
          </cell>
          <cell r="C243" t="str">
            <v>-</v>
          </cell>
          <cell r="H243">
            <v>16.056890876853195</v>
          </cell>
          <cell r="I243">
            <v>8.0038493002502253</v>
          </cell>
          <cell r="J243">
            <v>2.0189347760324048</v>
          </cell>
        </row>
        <row r="244">
          <cell r="A244" t="str">
            <v>T-Bat-Car-STG_S3</v>
          </cell>
          <cell r="B244" t="str">
            <v>VAR_fout</v>
          </cell>
          <cell r="C244" t="str">
            <v>T-ELC-car-BatSTGAUXout_S3</v>
          </cell>
          <cell r="H244">
            <v>2.882774580655441</v>
          </cell>
          <cell r="I244">
            <v>3.2307715738452054</v>
          </cell>
          <cell r="J244">
            <v>2.882047138513443</v>
          </cell>
        </row>
        <row r="245">
          <cell r="A245" t="str">
            <v>T-Bat-Car-STG_S3</v>
          </cell>
          <cell r="B245" t="str">
            <v>VAR_fout</v>
          </cell>
          <cell r="C245" t="str">
            <v>T-ELC-car-BatSTGOut_S3</v>
          </cell>
          <cell r="H245">
            <v>2.882774580655441</v>
          </cell>
          <cell r="I245">
            <v>3.230771573845205</v>
          </cell>
          <cell r="J245">
            <v>2.882047138513443</v>
          </cell>
        </row>
        <row r="246">
          <cell r="A246" t="str">
            <v>T-Bat-Car-STG_S3</v>
          </cell>
          <cell r="B246" t="str">
            <v>VAR_fin</v>
          </cell>
          <cell r="C246" t="str">
            <v>T-ELC-car-BatSTGAUXin_S3</v>
          </cell>
          <cell r="H246">
            <v>2.8830674735808848</v>
          </cell>
          <cell r="I246">
            <v>3.2310988785945693</v>
          </cell>
          <cell r="J246">
            <v>2.8823385468900971</v>
          </cell>
        </row>
        <row r="247">
          <cell r="A247" t="str">
            <v>T-Bat-Car-STG_S3</v>
          </cell>
          <cell r="B247" t="str">
            <v>VAR_fin</v>
          </cell>
          <cell r="C247" t="str">
            <v>T-ELC-car-BatSTGin_S3</v>
          </cell>
          <cell r="H247">
            <v>2.8830674735808848</v>
          </cell>
          <cell r="I247">
            <v>3.2310988785945693</v>
          </cell>
          <cell r="J247">
            <v>2.8823385468900971</v>
          </cell>
        </row>
        <row r="248">
          <cell r="A248" t="str">
            <v>T-Bat-Car-STG_S3</v>
          </cell>
          <cell r="B248" t="str">
            <v>VAR_ncap</v>
          </cell>
          <cell r="C248" t="str">
            <v>-</v>
          </cell>
          <cell r="H248">
            <v>40.162162065905299</v>
          </cell>
          <cell r="I248">
            <v>12.7620554117008</v>
          </cell>
          <cell r="J248">
            <v>32.808077567845302</v>
          </cell>
        </row>
        <row r="249">
          <cell r="A249" t="str">
            <v>T-Bat-Car-STG_S3</v>
          </cell>
          <cell r="B249" t="str">
            <v>VAR_cap</v>
          </cell>
          <cell r="C249" t="str">
            <v>-</v>
          </cell>
          <cell r="H249">
            <v>42.399320832575825</v>
          </cell>
          <cell r="I249">
            <v>47.811280621963391</v>
          </cell>
          <cell r="J249">
            <v>44.394025575787552</v>
          </cell>
        </row>
        <row r="250">
          <cell r="A250" t="str">
            <v>T_TW-ICEGSL-S2</v>
          </cell>
          <cell r="B250" t="str">
            <v>VAR_fout</v>
          </cell>
          <cell r="C250" t="str">
            <v>CO2_T</v>
          </cell>
          <cell r="H250">
            <v>0.6982380843688325</v>
          </cell>
          <cell r="I250">
            <v>6.5621554951020098E-3</v>
          </cell>
          <cell r="J250">
            <v>3.9492171913811996E-3</v>
          </cell>
        </row>
        <row r="251">
          <cell r="A251" t="str">
            <v>T_TW-ICEGSL-S2</v>
          </cell>
          <cell r="B251" t="str">
            <v>VAR_fout</v>
          </cell>
          <cell r="C251" t="str">
            <v>TPTWL</v>
          </cell>
          <cell r="H251">
            <v>1.0485288829185263E-2</v>
          </cell>
          <cell r="I251">
            <v>1.0514317277478019E-4</v>
          </cell>
          <cell r="J251">
            <v>6.5144873300670194E-5</v>
          </cell>
        </row>
        <row r="252">
          <cell r="A252" t="str">
            <v>T_TW-ICEGSL-S2</v>
          </cell>
          <cell r="B252" t="str">
            <v>VAR_fin</v>
          </cell>
          <cell r="C252" t="str">
            <v>TGSL</v>
          </cell>
          <cell r="H252">
            <v>9.4612206554042719E-3</v>
          </cell>
          <cell r="I252">
            <v>8.8918096139593782E-5</v>
          </cell>
          <cell r="J252">
            <v>5.3512428067495993E-5</v>
          </cell>
        </row>
        <row r="253">
          <cell r="A253" t="str">
            <v>T_TW-ICEGSL-S2</v>
          </cell>
          <cell r="B253" t="str">
            <v>VAR_ncap</v>
          </cell>
          <cell r="C253" t="str">
            <v>-</v>
          </cell>
          <cell r="H253">
            <v>1.9046480955222399E-5</v>
          </cell>
          <cell r="I253">
            <v>1.48781331053863E-5</v>
          </cell>
          <cell r="J253">
            <v>9.8324693847796695E-6</v>
          </cell>
        </row>
        <row r="254">
          <cell r="A254" t="str">
            <v>T_TW-ICEGSL-S2</v>
          </cell>
          <cell r="B254" t="str">
            <v>VAR_cap</v>
          </cell>
          <cell r="C254" t="str">
            <v>-</v>
          </cell>
          <cell r="H254">
            <v>5.0230481110460166E-3</v>
          </cell>
          <cell r="I254">
            <v>4.2010322927094563E-5</v>
          </cell>
          <cell r="J254">
            <v>2.6054214726969361E-5</v>
          </cell>
        </row>
        <row r="255">
          <cell r="A255" t="str">
            <v>T-Bat-Car-STG_S4</v>
          </cell>
          <cell r="B255" t="str">
            <v>VAR_fout</v>
          </cell>
          <cell r="C255" t="str">
            <v>T-ELC-car-BatSTGAUXout_S4</v>
          </cell>
          <cell r="H255">
            <v>12.465435720973845</v>
          </cell>
          <cell r="I255">
            <v>10.462178898587931</v>
          </cell>
          <cell r="J255">
            <v>10.081065523128546</v>
          </cell>
        </row>
        <row r="256">
          <cell r="A256" t="str">
            <v>T-Bat-Car-STG_S4</v>
          </cell>
          <cell r="B256" t="str">
            <v>VAR_fout</v>
          </cell>
          <cell r="C256" t="str">
            <v>T-ELC-car-BatSTGOut_S4</v>
          </cell>
          <cell r="H256">
            <v>12.465435720973844</v>
          </cell>
          <cell r="I256">
            <v>10.462178898587929</v>
          </cell>
          <cell r="J256">
            <v>10.081065523128546</v>
          </cell>
        </row>
        <row r="257">
          <cell r="A257" t="str">
            <v>T-Bat-Car-STG_S4</v>
          </cell>
          <cell r="B257" t="str">
            <v>VAR_fin</v>
          </cell>
          <cell r="C257" t="str">
            <v>T-ELC-car-BatSTGAUXin_S4</v>
          </cell>
          <cell r="H257">
            <v>12.466686960010161</v>
          </cell>
          <cell r="I257">
            <v>10.463228933801844</v>
          </cell>
          <cell r="J257">
            <v>10.082076909943307</v>
          </cell>
        </row>
        <row r="258">
          <cell r="A258" t="str">
            <v>T-Bat-Car-STG_S4</v>
          </cell>
          <cell r="B258" t="str">
            <v>VAR_fin</v>
          </cell>
          <cell r="C258" t="str">
            <v>T-ELC-car-BatSTGin_S4</v>
          </cell>
          <cell r="H258">
            <v>12.466686960010161</v>
          </cell>
          <cell r="I258">
            <v>10.463228933801844</v>
          </cell>
          <cell r="J258">
            <v>10.082076909943307</v>
          </cell>
        </row>
        <row r="259">
          <cell r="A259" t="str">
            <v>T-Bat-Car-STG_S4</v>
          </cell>
          <cell r="B259" t="str">
            <v>VAR_ncap</v>
          </cell>
          <cell r="C259" t="str">
            <v>-</v>
          </cell>
          <cell r="H259">
            <v>74.6692545833194</v>
          </cell>
          <cell r="I259">
            <v>55.185231353249399</v>
          </cell>
          <cell r="J259">
            <v>173.99465810091201</v>
          </cell>
        </row>
        <row r="260">
          <cell r="A260" t="str">
            <v>T-Bat-Car-STG_S4</v>
          </cell>
          <cell r="B260" t="str">
            <v>VAR_cap</v>
          </cell>
          <cell r="C260" t="str">
            <v>-</v>
          </cell>
          <cell r="H260">
            <v>147.17021630914789</v>
          </cell>
          <cell r="I260">
            <v>133.2755168367288</v>
          </cell>
          <cell r="J260">
            <v>190.92059250898799</v>
          </cell>
        </row>
        <row r="261">
          <cell r="A261" t="str">
            <v>T_TW-ICEGSL-S3</v>
          </cell>
          <cell r="B261" t="str">
            <v>VAR_fout</v>
          </cell>
          <cell r="C261" t="str">
            <v>CO2_T</v>
          </cell>
          <cell r="H261">
            <v>13.841973402699454</v>
          </cell>
          <cell r="I261">
            <v>3.3483485897636651</v>
          </cell>
          <cell r="J261">
            <v>3.472002790492138E-3</v>
          </cell>
        </row>
        <row r="262">
          <cell r="A262" t="str">
            <v>T_TW-ICEGSL-S3</v>
          </cell>
          <cell r="B262" t="str">
            <v>VAR_fout</v>
          </cell>
          <cell r="C262" t="str">
            <v>TPTWL</v>
          </cell>
          <cell r="H262">
            <v>0.13695987069481641</v>
          </cell>
          <cell r="I262">
            <v>3.317327321894184E-2</v>
          </cell>
          <cell r="J262">
            <v>3.7476880150883164E-5</v>
          </cell>
        </row>
        <row r="263">
          <cell r="A263" t="str">
            <v>T_TW-ICEGSL-S3</v>
          </cell>
          <cell r="B263" t="str">
            <v>VAR_fin</v>
          </cell>
          <cell r="C263" t="str">
            <v>TGSL</v>
          </cell>
          <cell r="H263">
            <v>0.18756061521272954</v>
          </cell>
          <cell r="I263">
            <v>4.5370577097068619E-2</v>
          </cell>
          <cell r="J263">
            <v>4.7046108272251235E-5</v>
          </cell>
        </row>
        <row r="264">
          <cell r="A264" t="str">
            <v>T_TW-ICEGSL-S3</v>
          </cell>
          <cell r="B264" t="str">
            <v>VAR_ncap</v>
          </cell>
          <cell r="C264" t="str">
            <v>-</v>
          </cell>
          <cell r="H264">
            <v>5.8536640231690898E-6</v>
          </cell>
          <cell r="I264">
            <v>4.8325155646199401E-6</v>
          </cell>
          <cell r="J264">
            <v>4.1118040586047903E-6</v>
          </cell>
        </row>
        <row r="265">
          <cell r="A265" t="str">
            <v>T_TW-ICEGSL-S3</v>
          </cell>
          <cell r="B265" t="str">
            <v>VAR_cap</v>
          </cell>
          <cell r="C265" t="str">
            <v>-</v>
          </cell>
          <cell r="H265">
            <v>6.5956756738860617E-2</v>
          </cell>
          <cell r="I265">
            <v>1.5961996215393626E-2</v>
          </cell>
          <cell r="J265">
            <v>1.5253809630695384E-5</v>
          </cell>
        </row>
        <row r="266">
          <cell r="A266" t="str">
            <v>T_C-ICEGSLEXT</v>
          </cell>
          <cell r="B266" t="str">
            <v>VAR_fout</v>
          </cell>
          <cell r="C266" t="str">
            <v>CO2_T</v>
          </cell>
        </row>
        <row r="267">
          <cell r="A267" t="str">
            <v>T_C-ICEGSLEXT</v>
          </cell>
          <cell r="B267" t="str">
            <v>VAR_fout</v>
          </cell>
          <cell r="C267" t="str">
            <v>TPCAR</v>
          </cell>
        </row>
        <row r="268">
          <cell r="A268" t="str">
            <v>T_C-ICEGSLEXT</v>
          </cell>
          <cell r="B268" t="str">
            <v>VAR_fin</v>
          </cell>
          <cell r="C268" t="str">
            <v>TGSL</v>
          </cell>
        </row>
        <row r="269">
          <cell r="A269" t="str">
            <v>T_C-ICEGSLEXT</v>
          </cell>
          <cell r="B269" t="str">
            <v>VAR_cap</v>
          </cell>
          <cell r="C269" t="str">
            <v>-</v>
          </cell>
        </row>
        <row r="270">
          <cell r="A270" t="str">
            <v>T_TW-ICEGSL-S4</v>
          </cell>
          <cell r="B270" t="str">
            <v>VAR_fout</v>
          </cell>
          <cell r="C270" t="str">
            <v>CO2_T</v>
          </cell>
          <cell r="H270">
            <v>9.2660442332360002</v>
          </cell>
          <cell r="I270">
            <v>8.3906231090801366</v>
          </cell>
          <cell r="J270">
            <v>0.50074498961542213</v>
          </cell>
        </row>
        <row r="271">
          <cell r="A271" t="str">
            <v>T_TW-ICEGSL-S4</v>
          </cell>
          <cell r="B271" t="str">
            <v>VAR_fout</v>
          </cell>
          <cell r="C271" t="str">
            <v>TPTWL</v>
          </cell>
          <cell r="H271">
            <v>8.4928590894536374E-2</v>
          </cell>
          <cell r="I271">
            <v>7.6912652133033735E-2</v>
          </cell>
          <cell r="J271">
            <v>4.6006574687920366E-3</v>
          </cell>
        </row>
        <row r="272">
          <cell r="A272" t="str">
            <v>T_TW-ICEGSL-S4</v>
          </cell>
          <cell r="B272" t="str">
            <v>VAR_fin</v>
          </cell>
          <cell r="C272" t="str">
            <v>TGSL</v>
          </cell>
          <cell r="H272">
            <v>0.1255561549218972</v>
          </cell>
          <cell r="I272">
            <v>0.11369408006883633</v>
          </cell>
          <cell r="J272">
            <v>6.785162460913572E-3</v>
          </cell>
        </row>
        <row r="273">
          <cell r="A273" t="str">
            <v>T_TW-ICEGSL-S4</v>
          </cell>
          <cell r="B273" t="str">
            <v>VAR_ncap</v>
          </cell>
          <cell r="C273" t="str">
            <v>-</v>
          </cell>
          <cell r="H273">
            <v>2.5966280614907E-6</v>
          </cell>
          <cell r="I273">
            <v>2.40458666346955E-6</v>
          </cell>
          <cell r="J273">
            <v>2.0297533675028398E-6</v>
          </cell>
        </row>
        <row r="274">
          <cell r="A274" t="str">
            <v>T_TW-ICEGSL-S4</v>
          </cell>
          <cell r="B274" t="str">
            <v>VAR_cap</v>
          </cell>
          <cell r="C274" t="str">
            <v>-</v>
          </cell>
          <cell r="H274">
            <v>4.0886784199665509E-2</v>
          </cell>
          <cell r="I274">
            <v>3.7035236963156977E-2</v>
          </cell>
          <cell r="J274">
            <v>2.2089825864774573E-3</v>
          </cell>
        </row>
        <row r="275">
          <cell r="A275" t="str">
            <v>T_C-ICEDSLEXT</v>
          </cell>
          <cell r="B275" t="str">
            <v>VAR_fout</v>
          </cell>
          <cell r="C275" t="str">
            <v>CO2_T</v>
          </cell>
        </row>
        <row r="276">
          <cell r="A276" t="str">
            <v>T_C-ICEDSLEXT</v>
          </cell>
          <cell r="B276" t="str">
            <v>VAR_fout</v>
          </cell>
          <cell r="C276" t="str">
            <v>TPCAR</v>
          </cell>
        </row>
        <row r="277">
          <cell r="A277" t="str">
            <v>T_C-ICEDSLEXT</v>
          </cell>
          <cell r="B277" t="str">
            <v>VAR_fin</v>
          </cell>
          <cell r="C277" t="str">
            <v>TDSL</v>
          </cell>
        </row>
        <row r="278">
          <cell r="A278" t="str">
            <v>T_C-ICEDSLEXT</v>
          </cell>
          <cell r="B278" t="str">
            <v>VAR_cap</v>
          </cell>
          <cell r="C278" t="str">
            <v>-</v>
          </cell>
        </row>
        <row r="279">
          <cell r="A279" t="str">
            <v>T-Plg-ELC-GSL_S1</v>
          </cell>
          <cell r="B279" t="str">
            <v>VAR_fout</v>
          </cell>
          <cell r="C279" t="str">
            <v>T-PEVmix-ELC_GSL_S1</v>
          </cell>
          <cell r="H279">
            <v>4.8593450472044006E-5</v>
          </cell>
          <cell r="I279">
            <v>5.7469778946718103E-5</v>
          </cell>
          <cell r="J279">
            <v>5.5403827574893249E-5</v>
          </cell>
        </row>
        <row r="280">
          <cell r="A280" t="str">
            <v>T-Plg-ELC-GSL_S1</v>
          </cell>
          <cell r="B280" t="str">
            <v>VAR_fin</v>
          </cell>
          <cell r="C280" t="str">
            <v>T-ELC-car-PlgSTGOut_S1</v>
          </cell>
          <cell r="H280">
            <v>2.605859640302795E-5</v>
          </cell>
          <cell r="I280">
            <v>3.0102653726102799E-5</v>
          </cell>
          <cell r="J280">
            <v>2.7267472878403002E-5</v>
          </cell>
        </row>
        <row r="281">
          <cell r="A281" t="str">
            <v>T-Plg-ELC-GSL_S2</v>
          </cell>
          <cell r="B281" t="str">
            <v>VAR_fout</v>
          </cell>
          <cell r="C281" t="str">
            <v>T-PEVmix-ELC_GSL_S2</v>
          </cell>
          <cell r="H281">
            <v>2.7339380793421006E-3</v>
          </cell>
          <cell r="I281">
            <v>2.8728233429346311E-4</v>
          </cell>
          <cell r="J281">
            <v>2.7150415992468021E-4</v>
          </cell>
        </row>
        <row r="282">
          <cell r="A282" t="str">
            <v>T-Plg-ELC-GSL_S2</v>
          </cell>
          <cell r="B282" t="str">
            <v>VAR_fin</v>
          </cell>
          <cell r="C282" t="str">
            <v>T-ELC-car-PlgSTGOut_S2</v>
          </cell>
          <cell r="H282">
            <v>1.7410551069793349E-3</v>
          </cell>
          <cell r="I282">
            <v>1.8067076385554147E-4</v>
          </cell>
          <cell r="J282">
            <v>1.579581579173043E-4</v>
          </cell>
        </row>
        <row r="283">
          <cell r="A283" t="str">
            <v>T-Plg-ELC-DSL_S1</v>
          </cell>
          <cell r="B283" t="str">
            <v>VAR_fout</v>
          </cell>
          <cell r="C283" t="str">
            <v>T-PEVmix-ELC_DSL_S1</v>
          </cell>
          <cell r="H283">
            <v>5.0049344662786506E-5</v>
          </cell>
          <cell r="I283">
            <v>5.7678805193199976E-5</v>
          </cell>
          <cell r="J283">
            <v>5.6179613654128189E-5</v>
          </cell>
        </row>
        <row r="284">
          <cell r="A284" t="str">
            <v>T-Plg-ELC-DSL_S1</v>
          </cell>
          <cell r="B284" t="str">
            <v>VAR_fin</v>
          </cell>
          <cell r="C284" t="str">
            <v>T-ELC-car-PlgSTGOut_S1</v>
          </cell>
          <cell r="H284">
            <v>2.6838972209039531E-5</v>
          </cell>
          <cell r="I284">
            <v>3.0212061432694074E-5</v>
          </cell>
          <cell r="J284">
            <v>2.7648663837800407E-5</v>
          </cell>
        </row>
        <row r="285">
          <cell r="A285" t="str">
            <v>T_TRM_ELC</v>
          </cell>
          <cell r="B285" t="str">
            <v>VAR_fout</v>
          </cell>
          <cell r="C285" t="str">
            <v>TPTRM</v>
          </cell>
          <cell r="H285">
            <v>3.8185104274620588E-2</v>
          </cell>
          <cell r="I285">
            <v>3.9048512196511807E-2</v>
          </cell>
          <cell r="J285">
            <v>4.0347931071859175E-2</v>
          </cell>
        </row>
        <row r="286">
          <cell r="A286" t="str">
            <v>T_TRM_ELC</v>
          </cell>
          <cell r="B286" t="str">
            <v>VAR_fin</v>
          </cell>
          <cell r="C286" t="str">
            <v>TELC</v>
          </cell>
          <cell r="H286">
            <v>0.7561616857731851</v>
          </cell>
          <cell r="I286">
            <v>0.77325934733858914</v>
          </cell>
          <cell r="J286">
            <v>0.79899112903654423</v>
          </cell>
        </row>
        <row r="287">
          <cell r="A287" t="str">
            <v>T-Plg-ELC-GSL_S3</v>
          </cell>
          <cell r="B287" t="str">
            <v>VAR_fout</v>
          </cell>
          <cell r="C287" t="str">
            <v>T-PEVmix-ELC_GSL_S3</v>
          </cell>
          <cell r="H287">
            <v>1.9970345284974833</v>
          </cell>
          <cell r="I287">
            <v>2.2062816582872289</v>
          </cell>
          <cell r="J287">
            <v>2.7337273389846302</v>
          </cell>
        </row>
        <row r="288">
          <cell r="A288" t="str">
            <v>T-Plg-ELC-GSL_S3</v>
          </cell>
          <cell r="B288" t="str">
            <v>VAR_fin</v>
          </cell>
          <cell r="C288" t="str">
            <v>T-ELC-car-PlgSTGOut_S3</v>
          </cell>
          <cell r="H288">
            <v>1.3579961271564152</v>
          </cell>
          <cell r="I288">
            <v>1.4326323711098568</v>
          </cell>
          <cell r="J288">
            <v>1.6106887259515565</v>
          </cell>
        </row>
        <row r="289">
          <cell r="A289" t="str">
            <v>T-Plg-ELC-DSL_S2</v>
          </cell>
          <cell r="B289" t="str">
            <v>VAR_fout</v>
          </cell>
          <cell r="C289" t="str">
            <v>T-PEVmix-ELC_DSL_S2</v>
          </cell>
          <cell r="H289">
            <v>2.1631141262154881E-4</v>
          </cell>
          <cell r="I289">
            <v>3.1766949045551807E-4</v>
          </cell>
          <cell r="J289">
            <v>2.8616927848595155E-4</v>
          </cell>
        </row>
        <row r="290">
          <cell r="A290" t="str">
            <v>T-Plg-ELC-DSL_S2</v>
          </cell>
          <cell r="B290" t="str">
            <v>VAR_fin</v>
          </cell>
          <cell r="C290" t="str">
            <v>T-ELC-car-PlgSTGOut_S2</v>
          </cell>
          <cell r="H290">
            <v>1.4007837057024818E-4</v>
          </cell>
          <cell r="I290">
            <v>1.9963359107776259E-4</v>
          </cell>
          <cell r="J290">
            <v>1.6634324842781638E-4</v>
          </cell>
        </row>
        <row r="291">
          <cell r="A291" t="str">
            <v>T_TW-ICEGSLEXT</v>
          </cell>
          <cell r="B291" t="str">
            <v>VAR_fout</v>
          </cell>
          <cell r="C291" t="str">
            <v>CO2_T</v>
          </cell>
        </row>
        <row r="292">
          <cell r="A292" t="str">
            <v>T_TW-ICEGSLEXT</v>
          </cell>
          <cell r="B292" t="str">
            <v>VAR_fout</v>
          </cell>
          <cell r="C292" t="str">
            <v>TPTWL</v>
          </cell>
        </row>
        <row r="293">
          <cell r="A293" t="str">
            <v>T_TW-ICEGSLEXT</v>
          </cell>
          <cell r="B293" t="str">
            <v>VAR_fin</v>
          </cell>
          <cell r="C293" t="str">
            <v>TGSL</v>
          </cell>
        </row>
        <row r="294">
          <cell r="A294" t="str">
            <v>T_TW-ICEGSLEXT</v>
          </cell>
          <cell r="B294" t="str">
            <v>VAR_cap</v>
          </cell>
          <cell r="C294" t="str">
            <v>-</v>
          </cell>
        </row>
        <row r="295">
          <cell r="A295" t="str">
            <v>T-Plg-ELC-GSL_S4</v>
          </cell>
          <cell r="B295" t="str">
            <v>VAR_fout</v>
          </cell>
          <cell r="C295" t="str">
            <v>T-PEVmix-ELC_GSL_S4</v>
          </cell>
          <cell r="H295">
            <v>5.8802071987553777E-3</v>
          </cell>
          <cell r="I295">
            <v>3.751858585264305E-4</v>
          </cell>
          <cell r="J295">
            <v>3.0480764627535667E-4</v>
          </cell>
        </row>
        <row r="296">
          <cell r="A296" t="str">
            <v>T-Plg-ELC-GSL_S4</v>
          </cell>
          <cell r="B296" t="str">
            <v>VAR_fin</v>
          </cell>
          <cell r="C296" t="str">
            <v>T-ELC-car-PlgSTGOut_S4</v>
          </cell>
          <cell r="H296">
            <v>4.205544506852431E-3</v>
          </cell>
          <cell r="I296">
            <v>2.6488399055045952E-4</v>
          </cell>
          <cell r="J296">
            <v>2.0113268299939125E-4</v>
          </cell>
        </row>
        <row r="297">
          <cell r="A297" t="str">
            <v>T-Plg-ELC-DSL_S3</v>
          </cell>
          <cell r="B297" t="str">
            <v>VAR_fout</v>
          </cell>
          <cell r="C297" t="str">
            <v>T-PEVmix-ELC_DSL_S3</v>
          </cell>
          <cell r="H297">
            <v>3.1107489067494671</v>
          </cell>
          <cell r="I297">
            <v>4.4999620536699423</v>
          </cell>
          <cell r="J297">
            <v>5.4490751918145675</v>
          </cell>
        </row>
        <row r="298">
          <cell r="A298" t="str">
            <v>T-Plg-ELC-DSL_S3</v>
          </cell>
          <cell r="B298" t="str">
            <v>VAR_fin</v>
          </cell>
          <cell r="C298" t="str">
            <v>T-ELC-car-PlgSTGOut_S3</v>
          </cell>
          <cell r="H298">
            <v>2.1153136204491685</v>
          </cell>
          <cell r="I298">
            <v>2.9219894070370884</v>
          </cell>
          <cell r="J298">
            <v>3.2105169948371035</v>
          </cell>
        </row>
        <row r="299">
          <cell r="A299" t="str">
            <v>T-Plg-ELC-DSL_S4</v>
          </cell>
          <cell r="B299" t="str">
            <v>VAR_fout</v>
          </cell>
          <cell r="C299" t="str">
            <v>T-PEVmix-ELC_DSL_S4</v>
          </cell>
          <cell r="H299">
            <v>7.4248341762752593E-4</v>
          </cell>
          <cell r="I299">
            <v>4.0176760220210478E-4</v>
          </cell>
          <cell r="J299">
            <v>3.1480130381091211E-4</v>
          </cell>
        </row>
        <row r="300">
          <cell r="A300" t="str">
            <v>T-Plg-ELC-DSL_S4</v>
          </cell>
          <cell r="B300" t="str">
            <v>VAR_fin</v>
          </cell>
          <cell r="C300" t="str">
            <v>T-ELC-car-PlgSTGOut_S4</v>
          </cell>
          <cell r="H300">
            <v>5.3601246746956327E-4</v>
          </cell>
          <cell r="I300">
            <v>2.8349570767351536E-4</v>
          </cell>
          <cell r="J300">
            <v>2.0764029104491748E-4</v>
          </cell>
        </row>
        <row r="301">
          <cell r="A301" t="str">
            <v>TFLGV-ICENGA</v>
          </cell>
          <cell r="B301" t="str">
            <v>VAR_fout</v>
          </cell>
          <cell r="C301" t="str">
            <v>CO2_T</v>
          </cell>
          <cell r="H301">
            <v>5.4337279337267948E-3</v>
          </cell>
          <cell r="I301">
            <v>5.3042892093296268E-3</v>
          </cell>
          <cell r="J301">
            <v>4.9524429466504842E-3</v>
          </cell>
        </row>
        <row r="302">
          <cell r="A302" t="str">
            <v>TFLGV-ICENGA</v>
          </cell>
          <cell r="B302" t="str">
            <v>VAR_fout</v>
          </cell>
          <cell r="C302" t="str">
            <v>TFLGV</v>
          </cell>
          <cell r="H302">
            <v>3.0885244778596555E-5</v>
          </cell>
          <cell r="I302">
            <v>3.014951661266795E-5</v>
          </cell>
          <cell r="J302">
            <v>2.8149626651334089E-5</v>
          </cell>
        </row>
        <row r="303">
          <cell r="A303" t="str">
            <v>TFLGV-ICENGA</v>
          </cell>
          <cell r="B303" t="str">
            <v>VAR_fin</v>
          </cell>
          <cell r="C303" t="str">
            <v>TNGA</v>
          </cell>
          <cell r="H303">
            <v>9.6342693860404266E-5</v>
          </cell>
          <cell r="I303">
            <v>9.4047681016482738E-5</v>
          </cell>
          <cell r="J303">
            <v>8.7809272103732042E-5</v>
          </cell>
        </row>
        <row r="304">
          <cell r="A304" t="str">
            <v>TFLGV-ICENGA</v>
          </cell>
          <cell r="B304" t="str">
            <v>VAR_ncap</v>
          </cell>
          <cell r="C304" t="str">
            <v>-</v>
          </cell>
          <cell r="H304">
            <v>1.9386881295446898E-6</v>
          </cell>
          <cell r="I304">
            <v>4.7048062836734799E-7</v>
          </cell>
          <cell r="J304">
            <v>1.7325566510025201E-6</v>
          </cell>
        </row>
        <row r="305">
          <cell r="A305" t="str">
            <v>TFLGV-ICENGA</v>
          </cell>
          <cell r="B305" t="str">
            <v>VAR_cap</v>
          </cell>
          <cell r="C305" t="str">
            <v>-</v>
          </cell>
          <cell r="H305">
            <v>2.44038294533309E-6</v>
          </cell>
          <cell r="I305">
            <v>2.3918656274610759E-6</v>
          </cell>
          <cell r="J305">
            <v>2.2977079666196905E-6</v>
          </cell>
        </row>
        <row r="306">
          <cell r="A306" t="str">
            <v>TFLGV-BEVELC</v>
          </cell>
          <cell r="B306" t="str">
            <v>VAR_fout</v>
          </cell>
          <cell r="C306" t="str">
            <v>TFLGV</v>
          </cell>
          <cell r="H306">
            <v>1.6998288395333936</v>
          </cell>
          <cell r="I306">
            <v>3.1768605108691856</v>
          </cell>
          <cell r="J306">
            <v>3.7366151785849153</v>
          </cell>
        </row>
        <row r="307">
          <cell r="A307" t="str">
            <v>TFLGV-BEVELC</v>
          </cell>
          <cell r="B307" t="str">
            <v>VAR_fin</v>
          </cell>
          <cell r="C307" t="str">
            <v>T-ELC-LGV_BatSTGout</v>
          </cell>
          <cell r="H307">
            <v>2.4947676733799518</v>
          </cell>
          <cell r="I307">
            <v>4.6625452639863116</v>
          </cell>
          <cell r="J307">
            <v>5.4840737717765924</v>
          </cell>
        </row>
        <row r="308">
          <cell r="A308" t="str">
            <v>TFLGV-BEVELC</v>
          </cell>
          <cell r="B308" t="str">
            <v>VAR_ncap</v>
          </cell>
          <cell r="C308" t="str">
            <v>-</v>
          </cell>
          <cell r="H308">
            <v>0.112244598585078</v>
          </cell>
          <cell r="I308">
            <v>0.19593919468207299</v>
          </cell>
          <cell r="J308">
            <v>0.22100546499736101</v>
          </cell>
        </row>
        <row r="309">
          <cell r="A309" t="str">
            <v>TFLGV-BEVELC</v>
          </cell>
          <cell r="B309" t="str">
            <v>VAR_cap</v>
          </cell>
          <cell r="C309" t="str">
            <v>-</v>
          </cell>
          <cell r="H309">
            <v>0.16382398558401701</v>
          </cell>
          <cell r="I309">
            <v>0.31632712914264199</v>
          </cell>
          <cell r="J309">
            <v>0.33896765918454502</v>
          </cell>
        </row>
        <row r="310">
          <cell r="A310" t="str">
            <v>T_B_c-BEVELC-S1</v>
          </cell>
          <cell r="B310" t="str">
            <v>VAR_fout</v>
          </cell>
          <cell r="C310" t="str">
            <v>TPBSc</v>
          </cell>
          <cell r="H310">
            <v>6.0905657186278044E-2</v>
          </cell>
          <cell r="I310">
            <v>4.0301068526067525E-2</v>
          </cell>
          <cell r="J310">
            <v>2.330912355163511E-2</v>
          </cell>
        </row>
        <row r="311">
          <cell r="A311" t="str">
            <v>T_B_c-BEVELC-S1</v>
          </cell>
          <cell r="B311" t="str">
            <v>VAR_fin</v>
          </cell>
          <cell r="C311" t="str">
            <v>T-ELC-Bus_c_BatSTGout_S1</v>
          </cell>
          <cell r="H311">
            <v>0.13162703199292536</v>
          </cell>
          <cell r="I311">
            <v>8.5531478024214069E-2</v>
          </cell>
          <cell r="J311">
            <v>4.4854347465561301E-2</v>
          </cell>
        </row>
        <row r="312">
          <cell r="A312" t="str">
            <v>T_B_c-BEVELC-S1</v>
          </cell>
          <cell r="B312" t="str">
            <v>VAR_ncap</v>
          </cell>
          <cell r="C312" t="str">
            <v>-</v>
          </cell>
          <cell r="H312">
            <v>8.7223288977296204E-4</v>
          </cell>
          <cell r="I312">
            <v>3.46898009061885E-6</v>
          </cell>
          <cell r="J312">
            <v>3.6823752036979699E-4</v>
          </cell>
        </row>
        <row r="313">
          <cell r="A313" t="str">
            <v>T_B_c-BEVELC-S1</v>
          </cell>
          <cell r="B313" t="str">
            <v>VAR_cap</v>
          </cell>
          <cell r="C313" t="str">
            <v>-</v>
          </cell>
          <cell r="H313">
            <v>1.3238986992454129E-3</v>
          </cell>
          <cell r="I313">
            <v>8.75906699389986E-4</v>
          </cell>
          <cell r="J313">
            <v>5.2304215917597105E-4</v>
          </cell>
        </row>
        <row r="314">
          <cell r="A314" t="str">
            <v>T_B_c-BEVELC-S2</v>
          </cell>
          <cell r="B314" t="str">
            <v>VAR_fout</v>
          </cell>
          <cell r="C314" t="str">
            <v>TPBSc</v>
          </cell>
          <cell r="H314">
            <v>2.4037879181046981E-2</v>
          </cell>
          <cell r="I314">
            <v>4.4593380616222013E-2</v>
          </cell>
          <cell r="J314">
            <v>5.2146206082191185E-2</v>
          </cell>
        </row>
        <row r="315">
          <cell r="A315" t="str">
            <v>T_B_c-BEVELC-S2</v>
          </cell>
          <cell r="B315" t="str">
            <v>VAR_fin</v>
          </cell>
          <cell r="C315" t="str">
            <v>T-ELC-Bus_c_BatSTGout_S2</v>
          </cell>
          <cell r="H315">
            <v>7.3427840665589703E-2</v>
          </cell>
          <cell r="I315">
            <v>0.12506009316642899</v>
          </cell>
          <cell r="J315">
            <v>0.13804872189762338</v>
          </cell>
        </row>
        <row r="316">
          <cell r="A316" t="str">
            <v>T_B_c-BEVELC-S2</v>
          </cell>
          <cell r="B316" t="str">
            <v>VAR_ncap</v>
          </cell>
          <cell r="C316" t="str">
            <v>-</v>
          </cell>
          <cell r="H316">
            <v>9.68392782201297E-5</v>
          </cell>
          <cell r="I316">
            <v>8.7135065504200199E-4</v>
          </cell>
          <cell r="J316">
            <v>6.7920704267901498E-4</v>
          </cell>
        </row>
        <row r="317">
          <cell r="A317" t="str">
            <v>T_B_c-BEVELC-S2</v>
          </cell>
          <cell r="B317" t="str">
            <v>VAR_cap</v>
          </cell>
          <cell r="C317" t="str">
            <v>-</v>
          </cell>
          <cell r="H317">
            <v>5.2251414843849356E-4</v>
          </cell>
          <cell r="I317">
            <v>9.690602517035895E-4</v>
          </cell>
          <cell r="J317">
            <v>1.13318819848455E-3</v>
          </cell>
        </row>
        <row r="318">
          <cell r="A318" t="str">
            <v>T_B_c-BEVELC-S3</v>
          </cell>
          <cell r="B318" t="str">
            <v>VAR_fout</v>
          </cell>
          <cell r="C318" t="str">
            <v>TPBSc</v>
          </cell>
          <cell r="H318">
            <v>9.2360390793110657E-5</v>
          </cell>
          <cell r="I318">
            <v>1.5666010388957463E-4</v>
          </cell>
          <cell r="J318">
            <v>8.8438671839162469E-3</v>
          </cell>
        </row>
        <row r="319">
          <cell r="A319" t="str">
            <v>T_B_c-BEVELC-S3</v>
          </cell>
          <cell r="B319" t="str">
            <v>VAR_fin</v>
          </cell>
          <cell r="C319" t="str">
            <v>T-ELC-Bus_c_BatSTGout_S3</v>
          </cell>
          <cell r="H319">
            <v>4.1055212412247175E-4</v>
          </cell>
          <cell r="I319">
            <v>6.7069007517894525E-4</v>
          </cell>
          <cell r="J319">
            <v>3.3747347749116141E-2</v>
          </cell>
        </row>
        <row r="320">
          <cell r="A320" t="str">
            <v>T_B_c-BEVELC-S3</v>
          </cell>
          <cell r="B320" t="str">
            <v>VAR_ncap</v>
          </cell>
          <cell r="C320" t="str">
            <v>-</v>
          </cell>
          <cell r="H320">
            <v>1.5920773135829901E-6</v>
          </cell>
          <cell r="I320">
            <v>1.8337382758800699E-6</v>
          </cell>
          <cell r="J320">
            <v>1.91561112798346E-4</v>
          </cell>
        </row>
        <row r="321">
          <cell r="A321" t="str">
            <v>T_B_c-BEVELC-S3</v>
          </cell>
          <cell r="B321" t="str">
            <v>VAR_cap</v>
          </cell>
          <cell r="C321" t="str">
            <v>-</v>
          </cell>
          <cell r="H321">
            <v>2.03722675644966E-6</v>
          </cell>
          <cell r="I321">
            <v>3.4258155894630602E-6</v>
          </cell>
          <cell r="J321">
            <v>1.9218920711880301E-4</v>
          </cell>
        </row>
        <row r="322">
          <cell r="A322" t="str">
            <v>T_B_c-BEVELC-S4</v>
          </cell>
          <cell r="B322" t="str">
            <v>VAR_fout</v>
          </cell>
          <cell r="C322" t="str">
            <v>TPBSc</v>
          </cell>
          <cell r="H322">
            <v>1.5213348030532469E-6</v>
          </cell>
          <cell r="I322">
            <v>2.4349431659608335E-6</v>
          </cell>
          <cell r="J322">
            <v>5.4811536924247191E-7</v>
          </cell>
        </row>
        <row r="323">
          <cell r="A323" t="str">
            <v>T_B_c-BEVELC-S4</v>
          </cell>
          <cell r="B323" t="str">
            <v>VAR_fin</v>
          </cell>
          <cell r="C323" t="str">
            <v>T-ELC-Bus_c_BatSTGout_S4</v>
          </cell>
          <cell r="H323">
            <v>1.0006391365043016E-5</v>
          </cell>
          <cell r="I323">
            <v>1.5444882405338217E-5</v>
          </cell>
          <cell r="J323">
            <v>3.1235890582072537E-6</v>
          </cell>
        </row>
        <row r="324">
          <cell r="A324" t="str">
            <v>T_B_c-BEVELC-S4</v>
          </cell>
          <cell r="B324" t="str">
            <v>VAR_ncap</v>
          </cell>
          <cell r="C324" t="str">
            <v>-</v>
          </cell>
          <cell r="H324">
            <v>6.2991025234725002E-8</v>
          </cell>
          <cell r="I324">
            <v>6.7205166265787205E-8</v>
          </cell>
          <cell r="J324">
            <v>2.82700107841338E-8</v>
          </cell>
        </row>
        <row r="325">
          <cell r="A325" t="str">
            <v>T_B_c-BEVELC-S4</v>
          </cell>
          <cell r="B325" t="str">
            <v>VAR_cap</v>
          </cell>
          <cell r="C325" t="str">
            <v>-</v>
          </cell>
          <cell r="H325">
            <v>7.3099534126559894E-8</v>
          </cell>
          <cell r="I325">
            <v>9.94927535581095E-8</v>
          </cell>
          <cell r="J325">
            <v>4.00637537660076E-8</v>
          </cell>
        </row>
        <row r="326">
          <cell r="A326" t="str">
            <v>T_C-BAT-ELC-S1</v>
          </cell>
          <cell r="B326" t="str">
            <v>VAR_fout</v>
          </cell>
          <cell r="C326" t="str">
            <v>TPCAR</v>
          </cell>
          <cell r="H326">
            <v>3.7250027733336552E-3</v>
          </cell>
          <cell r="I326">
            <v>7.9566380258204502E-3</v>
          </cell>
          <cell r="J326">
            <v>0.60939923149892983</v>
          </cell>
        </row>
        <row r="327">
          <cell r="A327" t="str">
            <v>T_C-BAT-ELC-S1</v>
          </cell>
          <cell r="B327" t="str">
            <v>VAR_fin</v>
          </cell>
          <cell r="C327" t="str">
            <v>T-ELC-car-BatSTGOut_S1</v>
          </cell>
          <cell r="H327">
            <v>2.0366645558988722E-3</v>
          </cell>
          <cell r="I327">
            <v>4.0156607190164019E-3</v>
          </cell>
          <cell r="J327">
            <v>0.2769880681923006</v>
          </cell>
        </row>
        <row r="328">
          <cell r="A328" t="str">
            <v>T_C-BAT-ELC-S1</v>
          </cell>
          <cell r="B328" t="str">
            <v>VAR_ncap</v>
          </cell>
          <cell r="C328" t="str">
            <v>-</v>
          </cell>
          <cell r="H328">
            <v>1.13688452047024E-4</v>
          </cell>
          <cell r="I328">
            <v>1.1264255216751899E-3</v>
          </cell>
          <cell r="J328">
            <v>0.107813539757094</v>
          </cell>
        </row>
        <row r="329">
          <cell r="A329" t="str">
            <v>T_C-BAT-ELC-S1</v>
          </cell>
          <cell r="B329" t="str">
            <v>VAR_cap</v>
          </cell>
          <cell r="C329" t="str">
            <v>-</v>
          </cell>
          <cell r="H329">
            <v>5.6383883286815605E-4</v>
          </cell>
          <cell r="I329">
            <v>1.2079812623580664E-3</v>
          </cell>
          <cell r="J329">
            <v>9.2613368597719611E-2</v>
          </cell>
        </row>
        <row r="330">
          <cell r="A330" t="str">
            <v>D-TNGA</v>
          </cell>
          <cell r="B330" t="str">
            <v>VAR_fout</v>
          </cell>
          <cell r="C330" t="str">
            <v>CO2</v>
          </cell>
          <cell r="H330">
            <v>6.3359819128634906E-2</v>
          </cell>
          <cell r="I330">
            <v>6.3862211215095901E-2</v>
          </cell>
          <cell r="J330">
            <v>5.1652541540113298E-2</v>
          </cell>
        </row>
        <row r="331">
          <cell r="A331" t="str">
            <v>D-TNGA</v>
          </cell>
          <cell r="B331" t="str">
            <v>VAR_fout</v>
          </cell>
          <cell r="C331" t="str">
            <v>TNGA</v>
          </cell>
          <cell r="H331">
            <v>1.2060776721350534E-3</v>
          </cell>
          <cell r="I331">
            <v>1.1494366871075059E-3</v>
          </cell>
          <cell r="J331">
            <v>9.4404830743811225E-4</v>
          </cell>
        </row>
        <row r="332">
          <cell r="A332" t="str">
            <v>D-TNGA</v>
          </cell>
          <cell r="B332" t="str">
            <v>VAR_fin</v>
          </cell>
          <cell r="C332" t="str">
            <v>NGA</v>
          </cell>
          <cell r="H332">
            <v>1.12340104838005E-3</v>
          </cell>
          <cell r="I332">
            <v>1.1323087094875148E-3</v>
          </cell>
          <cell r="J332">
            <v>9.1582520461193687E-4</v>
          </cell>
        </row>
        <row r="333">
          <cell r="A333" t="str">
            <v>D-TNGA</v>
          </cell>
          <cell r="B333" t="str">
            <v>VAR_fin</v>
          </cell>
          <cell r="C333" t="str">
            <v>BNGA</v>
          </cell>
          <cell r="H333">
            <v>7.8451246444820373E-5</v>
          </cell>
          <cell r="I333">
            <v>1.5890798250853813E-5</v>
          </cell>
          <cell r="J333">
            <v>2.3215856610194606E-5</v>
          </cell>
        </row>
        <row r="334">
          <cell r="A334" t="str">
            <v>D-TNGA</v>
          </cell>
          <cell r="B334" t="str">
            <v>VAR_fin</v>
          </cell>
          <cell r="C334" t="str">
            <v>H2</v>
          </cell>
          <cell r="H334">
            <v>9.7338404550836951E-6</v>
          </cell>
          <cell r="I334">
            <v>6.3537645516590576E-6</v>
          </cell>
          <cell r="J334">
            <v>9.6315634754848467E-6</v>
          </cell>
        </row>
        <row r="335">
          <cell r="A335" t="str">
            <v>D-TNGA</v>
          </cell>
          <cell r="B335" t="str">
            <v>VAR_ncap</v>
          </cell>
          <cell r="C335" t="str">
            <v>-</v>
          </cell>
          <cell r="H335">
            <v>2.0770741661784299E-8</v>
          </cell>
          <cell r="I335">
            <v>2.3325798550285501E-8</v>
          </cell>
          <cell r="J335">
            <v>5.2220580433910203E-8</v>
          </cell>
        </row>
        <row r="336">
          <cell r="A336" t="str">
            <v>D-TNGA</v>
          </cell>
          <cell r="B336" t="str">
            <v>VAR_cap</v>
          </cell>
          <cell r="C336" t="str">
            <v>-</v>
          </cell>
          <cell r="H336">
            <v>0.95961776969614276</v>
          </cell>
          <cell r="I336">
            <v>0.95961779302194128</v>
          </cell>
          <cell r="J336">
            <v>0.48125350159646568</v>
          </cell>
        </row>
        <row r="337">
          <cell r="A337" t="str">
            <v>T_C-BAT-ELC-S2</v>
          </cell>
          <cell r="B337" t="str">
            <v>VAR_fout</v>
          </cell>
          <cell r="C337" t="str">
            <v>TPCAR</v>
          </cell>
          <cell r="H337">
            <v>14.963904768217201</v>
          </cell>
          <cell r="I337">
            <v>17.212119787933844</v>
          </cell>
          <cell r="J337">
            <v>16.848625353298459</v>
          </cell>
        </row>
        <row r="338">
          <cell r="A338" t="str">
            <v>T_C-BAT-ELC-S2</v>
          </cell>
          <cell r="B338" t="str">
            <v>VAR_fin</v>
          </cell>
          <cell r="C338" t="str">
            <v>T-ELC-car-BatSTGOut_S2</v>
          </cell>
          <cell r="H338">
            <v>9.8595436933892042</v>
          </cell>
          <cell r="I338">
            <v>11.016866773395016</v>
          </cell>
          <cell r="J338">
            <v>9.8187688350998563</v>
          </cell>
        </row>
        <row r="339">
          <cell r="A339" t="str">
            <v>T_C-BAT-ELC-S2</v>
          </cell>
          <cell r="B339" t="str">
            <v>VAR_ncap</v>
          </cell>
          <cell r="C339" t="str">
            <v>-</v>
          </cell>
          <cell r="H339">
            <v>0.971892112868873</v>
          </cell>
          <cell r="I339">
            <v>0.78978075275099402</v>
          </cell>
          <cell r="J339">
            <v>1.33000668035462</v>
          </cell>
        </row>
        <row r="340">
          <cell r="A340" t="str">
            <v>T_C-BAT-ELC-S2</v>
          </cell>
          <cell r="B340" t="str">
            <v>VAR_cap</v>
          </cell>
          <cell r="C340" t="str">
            <v>-</v>
          </cell>
          <cell r="H340">
            <v>1.4176550422987821</v>
          </cell>
          <cell r="I340">
            <v>1.8154267992676101</v>
          </cell>
          <cell r="J340">
            <v>1.7771291696056799</v>
          </cell>
        </row>
        <row r="341">
          <cell r="A341" t="str">
            <v>TFLGV-BeVELCExt</v>
          </cell>
          <cell r="B341" t="str">
            <v>VAR_fout</v>
          </cell>
          <cell r="C341" t="str">
            <v>TFLGV</v>
          </cell>
        </row>
        <row r="342">
          <cell r="A342" t="str">
            <v>TFLGV-BeVELCExt</v>
          </cell>
          <cell r="B342" t="str">
            <v>VAR_fin</v>
          </cell>
          <cell r="C342" t="str">
            <v>TELC</v>
          </cell>
        </row>
        <row r="343">
          <cell r="A343" t="str">
            <v>TFLGV-BeVELCExt</v>
          </cell>
          <cell r="B343" t="str">
            <v>VAR_cap</v>
          </cell>
          <cell r="C343" t="str">
            <v>-</v>
          </cell>
        </row>
        <row r="344">
          <cell r="A344" t="str">
            <v>T_C-BAT-ELC-S3</v>
          </cell>
          <cell r="B344" t="str">
            <v>VAR_fout</v>
          </cell>
          <cell r="C344" t="str">
            <v>TPCAR</v>
          </cell>
          <cell r="H344">
            <v>4.0463711535523261</v>
          </cell>
          <cell r="I344">
            <v>4.6036381421516861</v>
          </cell>
          <cell r="J344">
            <v>4.5113159383558754</v>
          </cell>
        </row>
        <row r="345">
          <cell r="A345" t="str">
            <v>T_C-BAT-ELC-S3</v>
          </cell>
          <cell r="B345" t="str">
            <v>VAR_fin</v>
          </cell>
          <cell r="C345" t="str">
            <v>T-ELC-car-BatSTGOut_S3</v>
          </cell>
          <cell r="H345">
            <v>2.88266267123926</v>
          </cell>
          <cell r="I345">
            <v>3.2307016420462968</v>
          </cell>
          <cell r="J345">
            <v>2.8820106331359123</v>
          </cell>
        </row>
        <row r="346">
          <cell r="A346" t="str">
            <v>T_C-BAT-ELC-S3</v>
          </cell>
          <cell r="B346" t="str">
            <v>VAR_ncap</v>
          </cell>
          <cell r="C346" t="str">
            <v>-</v>
          </cell>
          <cell r="H346">
            <v>0.263477720396112</v>
          </cell>
          <cell r="I346">
            <v>8.6180990068071103E-2</v>
          </cell>
          <cell r="J346">
            <v>0.23531296252064701</v>
          </cell>
        </row>
        <row r="347">
          <cell r="A347" t="str">
            <v>T_C-BAT-ELC-S3</v>
          </cell>
          <cell r="B347" t="str">
            <v>VAR_cap</v>
          </cell>
          <cell r="C347" t="str">
            <v>-</v>
          </cell>
          <cell r="H347">
            <v>0.2782202811551901</v>
          </cell>
          <cell r="I347">
            <v>0.3165345439394941</v>
          </cell>
          <cell r="J347">
            <v>0.31018730329342697</v>
          </cell>
        </row>
        <row r="348">
          <cell r="A348" t="str">
            <v>T_C-BAT-ELC-S4</v>
          </cell>
          <cell r="B348" t="str">
            <v>VAR_fout</v>
          </cell>
          <cell r="C348" t="str">
            <v>TPCAR</v>
          </cell>
          <cell r="H348">
            <v>16.435230570568702</v>
          </cell>
          <cell r="I348">
            <v>14.219479982544195</v>
          </cell>
          <cell r="J348">
            <v>15.463938239733832</v>
          </cell>
        </row>
        <row r="349">
          <cell r="A349" t="str">
            <v>T_C-BAT-ELC-S4</v>
          </cell>
          <cell r="B349" t="str">
            <v>VAR_fin</v>
          </cell>
          <cell r="C349" t="str">
            <v>T-ELC-car-BatSTGOut_S4</v>
          </cell>
          <cell r="H349">
            <v>12.46533020303101</v>
          </cell>
          <cell r="I349">
            <v>10.462111262750554</v>
          </cell>
          <cell r="J349">
            <v>10.081030502446316</v>
          </cell>
        </row>
        <row r="350">
          <cell r="A350" t="str">
            <v>T_C-BAT-ELC-S4</v>
          </cell>
          <cell r="B350" t="str">
            <v>VAR_ncap</v>
          </cell>
          <cell r="C350" t="str">
            <v>-</v>
          </cell>
          <cell r="H350">
            <v>0.49934387790896601</v>
          </cell>
          <cell r="I350">
            <v>0.37898966863158301</v>
          </cell>
          <cell r="J350">
            <v>1.2627350361221401</v>
          </cell>
        </row>
        <row r="351">
          <cell r="A351" t="str">
            <v>T_C-BAT-ELC-S4</v>
          </cell>
          <cell r="B351" t="str">
            <v>VAR_cap</v>
          </cell>
          <cell r="C351" t="str">
            <v>-</v>
          </cell>
          <cell r="H351">
            <v>1.2941275089866082</v>
          </cell>
          <cell r="I351">
            <v>1.1196531627062738</v>
          </cell>
          <cell r="J351">
            <v>1.3940127837002501</v>
          </cell>
        </row>
        <row r="352">
          <cell r="A352" t="str">
            <v>T_B_c-ICENGA-S1</v>
          </cell>
          <cell r="B352" t="str">
            <v>VAR_fout</v>
          </cell>
          <cell r="C352" t="str">
            <v>CO2_T</v>
          </cell>
        </row>
        <row r="353">
          <cell r="A353" t="str">
            <v>T_B_c-ICENGA-S1</v>
          </cell>
          <cell r="B353" t="str">
            <v>VAR_fout</v>
          </cell>
          <cell r="C353" t="str">
            <v>TPBSc</v>
          </cell>
        </row>
        <row r="354">
          <cell r="A354" t="str">
            <v>T_B_c-ICENGA-S1</v>
          </cell>
          <cell r="B354" t="str">
            <v>VAR_fin</v>
          </cell>
          <cell r="C354" t="str">
            <v>TNGA</v>
          </cell>
        </row>
        <row r="355">
          <cell r="A355" t="str">
            <v>T_B_c-ICENGA-S1</v>
          </cell>
          <cell r="B355" t="str">
            <v>VAR_ncap</v>
          </cell>
          <cell r="C355" t="str">
            <v>-</v>
          </cell>
        </row>
        <row r="356">
          <cell r="A356" t="str">
            <v>T_B_c-ICENGA-S1</v>
          </cell>
          <cell r="B356" t="str">
            <v>VAR_cap</v>
          </cell>
          <cell r="C356" t="str">
            <v>-</v>
          </cell>
          <cell r="H356">
            <v>1.633879396014013E-9</v>
          </cell>
        </row>
        <row r="357">
          <cell r="A357" t="str">
            <v>TFLGV-FCLH2O</v>
          </cell>
          <cell r="B357" t="str">
            <v>VAR_fout</v>
          </cell>
          <cell r="C357" t="str">
            <v>TFLGV</v>
          </cell>
          <cell r="H357">
            <v>2.5322078494973774E-6</v>
          </cell>
          <cell r="I357">
            <v>2.306263783389333E-6</v>
          </cell>
          <cell r="J357">
            <v>2.0881146556231374E-6</v>
          </cell>
        </row>
        <row r="358">
          <cell r="A358" t="str">
            <v>TFLGV-FCLH2O</v>
          </cell>
          <cell r="B358" t="str">
            <v>VAR_fin</v>
          </cell>
          <cell r="C358" t="str">
            <v>TH2O</v>
          </cell>
          <cell r="H358">
            <v>4.7517008826637623E-6</v>
          </cell>
          <cell r="I358">
            <v>4.0773976676900805E-6</v>
          </cell>
          <cell r="J358">
            <v>3.4879516853056983E-6</v>
          </cell>
        </row>
        <row r="359">
          <cell r="A359" t="str">
            <v>TFLGV-FCLH2O</v>
          </cell>
          <cell r="B359" t="str">
            <v>VAR_ncap</v>
          </cell>
          <cell r="C359" t="str">
            <v>-</v>
          </cell>
          <cell r="H359">
            <v>1.0711253088640801E-7</v>
          </cell>
          <cell r="I359">
            <v>1.15390274865861E-7</v>
          </cell>
          <cell r="J359">
            <v>1.47695868601471E-7</v>
          </cell>
        </row>
        <row r="360">
          <cell r="A360" t="str">
            <v>TFLGV-FCLH2O</v>
          </cell>
          <cell r="B360" t="str">
            <v>VAR_cap</v>
          </cell>
          <cell r="C360" t="str">
            <v>-</v>
          </cell>
          <cell r="H360">
            <v>2.41440934440104E-7</v>
          </cell>
          <cell r="I360">
            <v>2.24109222411787E-7</v>
          </cell>
          <cell r="J360">
            <v>2.2436173383696399E-7</v>
          </cell>
        </row>
        <row r="361">
          <cell r="A361" t="str">
            <v>T_B_c-ICENGA-S2</v>
          </cell>
          <cell r="B361" t="str">
            <v>VAR_fout</v>
          </cell>
          <cell r="C361" t="str">
            <v>CO2_T</v>
          </cell>
        </row>
        <row r="362">
          <cell r="A362" t="str">
            <v>T_B_c-ICENGA-S2</v>
          </cell>
          <cell r="B362" t="str">
            <v>VAR_fout</v>
          </cell>
          <cell r="C362" t="str">
            <v>TPBSc</v>
          </cell>
        </row>
        <row r="363">
          <cell r="A363" t="str">
            <v>T_B_c-ICENGA-S2</v>
          </cell>
          <cell r="B363" t="str">
            <v>VAR_fin</v>
          </cell>
          <cell r="C363" t="str">
            <v>TNGA</v>
          </cell>
        </row>
        <row r="364">
          <cell r="A364" t="str">
            <v>T_B_c-ICENGA-S2</v>
          </cell>
          <cell r="B364" t="str">
            <v>VAR_ncap</v>
          </cell>
          <cell r="C364" t="str">
            <v>-</v>
          </cell>
        </row>
        <row r="365">
          <cell r="A365" t="str">
            <v>T_B_c-ICENGA-S2</v>
          </cell>
          <cell r="B365" t="str">
            <v>VAR_cap</v>
          </cell>
          <cell r="C365" t="str">
            <v>-</v>
          </cell>
          <cell r="H365">
            <v>1.4633812155444975E-9</v>
          </cell>
        </row>
        <row r="366">
          <cell r="A366" t="str">
            <v>T_B_u-ICEDSL-S1</v>
          </cell>
          <cell r="B366" t="str">
            <v>VAR_fout</v>
          </cell>
          <cell r="C366" t="str">
            <v>CO2_T</v>
          </cell>
        </row>
        <row r="367">
          <cell r="A367" t="str">
            <v>T_B_u-ICEDSL-S1</v>
          </cell>
          <cell r="B367" t="str">
            <v>VAR_fout</v>
          </cell>
          <cell r="C367" t="str">
            <v>TPBSu</v>
          </cell>
        </row>
        <row r="368">
          <cell r="A368" t="str">
            <v>T_B_u-ICEDSL-S1</v>
          </cell>
          <cell r="B368" t="str">
            <v>VAR_fin</v>
          </cell>
          <cell r="C368" t="str">
            <v>TDSL</v>
          </cell>
        </row>
        <row r="369">
          <cell r="A369" t="str">
            <v>T_B_u-ICEDSL-S1</v>
          </cell>
          <cell r="B369" t="str">
            <v>VAR_ncap</v>
          </cell>
          <cell r="C369" t="str">
            <v>-</v>
          </cell>
        </row>
        <row r="370">
          <cell r="A370" t="str">
            <v>T_B_u-ICEDSL-S1</v>
          </cell>
          <cell r="B370" t="str">
            <v>VAR_cap</v>
          </cell>
          <cell r="C370" t="str">
            <v>-</v>
          </cell>
          <cell r="H370">
            <v>2.6966849750410457E-9</v>
          </cell>
        </row>
        <row r="371">
          <cell r="A371" t="str">
            <v>T_B_c-ICENGA-S3</v>
          </cell>
          <cell r="B371" t="str">
            <v>VAR_fout</v>
          </cell>
          <cell r="C371" t="str">
            <v>CO2_T</v>
          </cell>
        </row>
        <row r="372">
          <cell r="A372" t="str">
            <v>T_B_c-ICENGA-S3</v>
          </cell>
          <cell r="B372" t="str">
            <v>VAR_fout</v>
          </cell>
          <cell r="C372" t="str">
            <v>TPBSc</v>
          </cell>
        </row>
        <row r="373">
          <cell r="A373" t="str">
            <v>T_B_c-ICENGA-S3</v>
          </cell>
          <cell r="B373" t="str">
            <v>VAR_fin</v>
          </cell>
          <cell r="C373" t="str">
            <v>TNGA</v>
          </cell>
        </row>
        <row r="374">
          <cell r="A374" t="str">
            <v>T_B_c-ICENGA-S3</v>
          </cell>
          <cell r="B374" t="str">
            <v>VAR_ncap</v>
          </cell>
          <cell r="C374" t="str">
            <v>-</v>
          </cell>
        </row>
        <row r="375">
          <cell r="A375" t="str">
            <v>T_B_c-ICENGA-S3</v>
          </cell>
          <cell r="B375" t="str">
            <v>VAR_cap</v>
          </cell>
          <cell r="C375" t="str">
            <v>-</v>
          </cell>
        </row>
        <row r="376">
          <cell r="A376" t="str">
            <v>T_B_u-ICEDSL-S2</v>
          </cell>
          <cell r="B376" t="str">
            <v>VAR_fout</v>
          </cell>
          <cell r="C376" t="str">
            <v>CO2_T</v>
          </cell>
        </row>
        <row r="377">
          <cell r="A377" t="str">
            <v>T_B_u-ICEDSL-S2</v>
          </cell>
          <cell r="B377" t="str">
            <v>VAR_fout</v>
          </cell>
          <cell r="C377" t="str">
            <v>TPBSu</v>
          </cell>
        </row>
        <row r="378">
          <cell r="A378" t="str">
            <v>T_B_u-ICEDSL-S2</v>
          </cell>
          <cell r="B378" t="str">
            <v>VAR_fin</v>
          </cell>
          <cell r="C378" t="str">
            <v>TDSL</v>
          </cell>
        </row>
        <row r="379">
          <cell r="A379" t="str">
            <v>T_B_u-ICEDSL-S2</v>
          </cell>
          <cell r="B379" t="str">
            <v>VAR_ncap</v>
          </cell>
          <cell r="C379" t="str">
            <v>-</v>
          </cell>
        </row>
        <row r="380">
          <cell r="A380" t="str">
            <v>T_B_u-ICEDSL-S2</v>
          </cell>
          <cell r="B380" t="str">
            <v>VAR_cap</v>
          </cell>
          <cell r="C380" t="str">
            <v>-</v>
          </cell>
          <cell r="H380">
            <v>3.3021218859329363E-10</v>
          </cell>
        </row>
        <row r="381">
          <cell r="A381" t="str">
            <v>T_B_u-ICEDSL-S3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T_B_u-ICEDSL-S3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T_B_u-ICEDSL-S3</v>
          </cell>
          <cell r="B383" t="str">
            <v>VAR_fin</v>
          </cell>
          <cell r="C383" t="str">
            <v>TDSL</v>
          </cell>
        </row>
        <row r="384">
          <cell r="A384" t="str">
            <v>T_B_u-ICEDSL-S3</v>
          </cell>
          <cell r="B384" t="str">
            <v>VAR_ncap</v>
          </cell>
          <cell r="C384" t="str">
            <v>-</v>
          </cell>
        </row>
        <row r="385">
          <cell r="A385" t="str">
            <v>T_B_u-ICEDSL-S3</v>
          </cell>
          <cell r="B385" t="str">
            <v>VAR_cap</v>
          </cell>
          <cell r="C385" t="str">
            <v>-</v>
          </cell>
        </row>
        <row r="386">
          <cell r="A386" t="str">
            <v>T_B_u-ICEDSL-S4</v>
          </cell>
          <cell r="B386" t="str">
            <v>VAR_fout</v>
          </cell>
          <cell r="C386" t="str">
            <v>CO2_T</v>
          </cell>
        </row>
        <row r="387">
          <cell r="A387" t="str">
            <v>T_B_u-ICEDSL-S4</v>
          </cell>
          <cell r="B387" t="str">
            <v>VAR_fout</v>
          </cell>
          <cell r="C387" t="str">
            <v>TPBSu</v>
          </cell>
        </row>
        <row r="388">
          <cell r="A388" t="str">
            <v>T_B_u-ICEDSL-S4</v>
          </cell>
          <cell r="B388" t="str">
            <v>VAR_fin</v>
          </cell>
          <cell r="C388" t="str">
            <v>TDSL</v>
          </cell>
        </row>
        <row r="389">
          <cell r="A389" t="str">
            <v>T_B_u-ICEDSL-S4</v>
          </cell>
          <cell r="B389" t="str">
            <v>VAR_cap</v>
          </cell>
          <cell r="C389" t="str">
            <v>-</v>
          </cell>
          <cell r="J389">
            <v>-5.7298646510825897E-9</v>
          </cell>
        </row>
        <row r="390">
          <cell r="A390" t="str">
            <v>D-TBDS1intl</v>
          </cell>
          <cell r="B390" t="str">
            <v>VAR_fout</v>
          </cell>
          <cell r="C390" t="str">
            <v>TKERintl_SAF</v>
          </cell>
          <cell r="H390">
            <v>5.0403527815965798</v>
          </cell>
          <cell r="I390">
            <v>5.04035279549836</v>
          </cell>
          <cell r="J390">
            <v>5.0403528415515604</v>
          </cell>
        </row>
        <row r="391">
          <cell r="A391" t="str">
            <v>D-TBDS1intl</v>
          </cell>
          <cell r="B391" t="str">
            <v>VAR_fin</v>
          </cell>
          <cell r="C391" t="str">
            <v>BDS1</v>
          </cell>
          <cell r="H391">
            <v>5.0403527815965798</v>
          </cell>
          <cell r="I391">
            <v>5.04035279549836</v>
          </cell>
          <cell r="J391">
            <v>5.0403528415515604</v>
          </cell>
        </row>
        <row r="392">
          <cell r="A392" t="str">
            <v>T_B_c-ICENGAEXT</v>
          </cell>
          <cell r="B392" t="str">
            <v>VAR_fout</v>
          </cell>
          <cell r="C392" t="str">
            <v>CO2_T</v>
          </cell>
        </row>
        <row r="393">
          <cell r="A393" t="str">
            <v>T_B_c-ICENGAEXT</v>
          </cell>
          <cell r="B393" t="str">
            <v>VAR_fout</v>
          </cell>
          <cell r="C393" t="str">
            <v>TPBSc</v>
          </cell>
        </row>
        <row r="394">
          <cell r="A394" t="str">
            <v>T_B_c-ICENGAEXT</v>
          </cell>
          <cell r="B394" t="str">
            <v>VAR_fin</v>
          </cell>
          <cell r="C394" t="str">
            <v>TNGA</v>
          </cell>
        </row>
        <row r="395">
          <cell r="A395" t="str">
            <v>T_B_c-ICENGAEXT</v>
          </cell>
          <cell r="B395" t="str">
            <v>VAR_cap</v>
          </cell>
          <cell r="C395" t="str">
            <v>-</v>
          </cell>
        </row>
        <row r="396">
          <cell r="A396" t="str">
            <v>T_B_u-ICEDSLEXT</v>
          </cell>
          <cell r="B396" t="str">
            <v>VAR_fout</v>
          </cell>
          <cell r="C396" t="str">
            <v>CO2_T</v>
          </cell>
        </row>
        <row r="397">
          <cell r="A397" t="str">
            <v>T_B_u-ICEDSLEXT</v>
          </cell>
          <cell r="B397" t="str">
            <v>VAR_fout</v>
          </cell>
          <cell r="C397" t="str">
            <v>TPBSu</v>
          </cell>
        </row>
        <row r="398">
          <cell r="A398" t="str">
            <v>T_B_u-ICEDSLEXT</v>
          </cell>
          <cell r="B398" t="str">
            <v>VAR_fin</v>
          </cell>
          <cell r="C398" t="str">
            <v>TDSL</v>
          </cell>
        </row>
        <row r="399">
          <cell r="A399" t="str">
            <v>T_B_u-ICEDSLEXT</v>
          </cell>
          <cell r="B399" t="str">
            <v>VAR_cap</v>
          </cell>
          <cell r="C399" t="str">
            <v>-</v>
          </cell>
        </row>
        <row r="400">
          <cell r="A400" t="str">
            <v>D-T-ELC-LGV</v>
          </cell>
          <cell r="B400" t="str">
            <v>VAR_fout</v>
          </cell>
          <cell r="C400" t="str">
            <v>T-ELC-LGV_BatSTGin</v>
          </cell>
          <cell r="H400">
            <v>2.4950900061435886</v>
          </cell>
          <cell r="I400">
            <v>4.6630620599017467</v>
          </cell>
          <cell r="J400">
            <v>5.4846521501994649</v>
          </cell>
        </row>
        <row r="401">
          <cell r="A401" t="str">
            <v>D-T-ELC-LGV</v>
          </cell>
          <cell r="B401" t="str">
            <v>VAR_fin</v>
          </cell>
          <cell r="C401" t="str">
            <v>TELC</v>
          </cell>
          <cell r="H401">
            <v>2.4950900061435886</v>
          </cell>
          <cell r="I401">
            <v>4.6630620599017467</v>
          </cell>
          <cell r="J401">
            <v>5.4846521501994649</v>
          </cell>
        </row>
        <row r="402">
          <cell r="A402" t="str">
            <v>D-T-ELC-LGV</v>
          </cell>
          <cell r="B402" t="str">
            <v>VAR_ncap</v>
          </cell>
          <cell r="C402" t="str">
            <v>-</v>
          </cell>
          <cell r="H402">
            <v>0.149445324444409</v>
          </cell>
          <cell r="I402">
            <v>0.32540336195041097</v>
          </cell>
          <cell r="J402">
            <v>0.39030636505010502</v>
          </cell>
        </row>
        <row r="403">
          <cell r="A403" t="str">
            <v>D-T-ELC-LGV</v>
          </cell>
          <cell r="B403" t="str">
            <v>VAR_cap</v>
          </cell>
          <cell r="C403" t="str">
            <v>-</v>
          </cell>
          <cell r="H403">
            <v>0.26372924974197198</v>
          </cell>
          <cell r="I403">
            <v>0.49288237683977498</v>
          </cell>
          <cell r="J403">
            <v>0.57972382863607197</v>
          </cell>
        </row>
        <row r="404">
          <cell r="A404" t="str">
            <v>T_C-HYBGSLEXT</v>
          </cell>
          <cell r="B404" t="str">
            <v>VAR_fout</v>
          </cell>
          <cell r="C404" t="str">
            <v>CO2_T</v>
          </cell>
        </row>
        <row r="405">
          <cell r="A405" t="str">
            <v>T_C-HYBGSLEXT</v>
          </cell>
          <cell r="B405" t="str">
            <v>VAR_fout</v>
          </cell>
          <cell r="C405" t="str">
            <v>TPCAR</v>
          </cell>
        </row>
        <row r="406">
          <cell r="A406" t="str">
            <v>T_C-HYBGSLEXT</v>
          </cell>
          <cell r="B406" t="str">
            <v>VAR_fin</v>
          </cell>
          <cell r="C406" t="str">
            <v>TGSL</v>
          </cell>
        </row>
        <row r="407">
          <cell r="A407" t="str">
            <v>T_C-HYBGSLEXT</v>
          </cell>
          <cell r="B407" t="str">
            <v>VAR_cap</v>
          </cell>
          <cell r="C407" t="str">
            <v>-</v>
          </cell>
        </row>
        <row r="408">
          <cell r="A408" t="str">
            <v>TPAVDKEREXT</v>
          </cell>
          <cell r="B408" t="str">
            <v>VAR_fout</v>
          </cell>
          <cell r="C408" t="str">
            <v>CO2_T</v>
          </cell>
          <cell r="H408">
            <v>185.675788544743</v>
          </cell>
          <cell r="I408">
            <v>154.38211110512901</v>
          </cell>
          <cell r="J408">
            <v>123.088433665514</v>
          </cell>
        </row>
        <row r="409">
          <cell r="A409" t="str">
            <v>TPAVDKEREXT</v>
          </cell>
          <cell r="B409" t="str">
            <v>VAR_fout</v>
          </cell>
          <cell r="C409" t="str">
            <v>TPAVD</v>
          </cell>
          <cell r="H409">
            <v>2.5504916008893299</v>
          </cell>
          <cell r="I409">
            <v>2.1206333943012199</v>
          </cell>
          <cell r="J409">
            <v>1.6907751877131001</v>
          </cell>
        </row>
        <row r="410">
          <cell r="A410" t="str">
            <v>TPAVDKEREXT</v>
          </cell>
          <cell r="B410" t="str">
            <v>VAR_fin</v>
          </cell>
          <cell r="C410" t="str">
            <v>TKER</v>
          </cell>
          <cell r="H410">
            <v>2.5504916008893299</v>
          </cell>
          <cell r="I410">
            <v>2.1206333943012199</v>
          </cell>
          <cell r="J410">
            <v>1.6907751877131001</v>
          </cell>
        </row>
        <row r="411">
          <cell r="A411" t="str">
            <v>TPAVDKEREXT</v>
          </cell>
          <cell r="B411" t="str">
            <v>VAR_ncap</v>
          </cell>
          <cell r="C411" t="str">
            <v>-</v>
          </cell>
          <cell r="H411">
            <v>0.73416697865626301</v>
          </cell>
          <cell r="I411">
            <v>0.69389557296578397</v>
          </cell>
          <cell r="J411">
            <v>0.99534274730956496</v>
          </cell>
        </row>
        <row r="412">
          <cell r="A412" t="str">
            <v>TPAVDKEREXT</v>
          </cell>
          <cell r="B412" t="str">
            <v>VAR_cap</v>
          </cell>
          <cell r="C412" t="str">
            <v>-</v>
          </cell>
          <cell r="H412">
            <v>2.9599050868111005</v>
          </cell>
          <cell r="I412">
            <v>2.3297366899771852</v>
          </cell>
          <cell r="J412">
            <v>1.8186742382484948</v>
          </cell>
        </row>
        <row r="413">
          <cell r="A413" t="str">
            <v>T_C-ICE-GSL-S1</v>
          </cell>
          <cell r="B413" t="str">
            <v>VAR_fout</v>
          </cell>
          <cell r="C413" t="str">
            <v>CO2_T</v>
          </cell>
          <cell r="H413">
            <v>110.53287253916127</v>
          </cell>
          <cell r="I413">
            <v>37.616976927042572</v>
          </cell>
          <cell r="J413">
            <v>6.3216596680323502E-3</v>
          </cell>
        </row>
        <row r="414">
          <cell r="A414" t="str">
            <v>T_C-ICE-GSL-S1</v>
          </cell>
          <cell r="B414" t="str">
            <v>VAR_fout</v>
          </cell>
          <cell r="C414" t="str">
            <v>TPCAR</v>
          </cell>
          <cell r="H414">
            <v>0.87993843273117078</v>
          </cell>
          <cell r="I414">
            <v>0.29668620985159594</v>
          </cell>
          <cell r="J414">
            <v>5.8035065998993071E-5</v>
          </cell>
        </row>
        <row r="415">
          <cell r="A415" t="str">
            <v>T_C-ICE-GSL-S1</v>
          </cell>
          <cell r="B415" t="str">
            <v>VAR_fin</v>
          </cell>
          <cell r="C415" t="str">
            <v>TGSL</v>
          </cell>
          <cell r="H415">
            <v>1.4977354002596359</v>
          </cell>
          <cell r="I415">
            <v>0.50971513451277162</v>
          </cell>
          <cell r="J415">
            <v>8.5659345095289287E-5</v>
          </cell>
        </row>
        <row r="416">
          <cell r="A416" t="str">
            <v>T_C-ICE-GSL-S1</v>
          </cell>
          <cell r="B416" t="str">
            <v>VAR_ncap</v>
          </cell>
          <cell r="C416" t="str">
            <v>-</v>
          </cell>
          <cell r="H416">
            <v>1.3893323156093299E-5</v>
          </cell>
          <cell r="I416">
            <v>6.38409367946057E-6</v>
          </cell>
          <cell r="J416">
            <v>2.2559447641689098E-6</v>
          </cell>
        </row>
        <row r="417">
          <cell r="A417" t="str">
            <v>T_C-ICE-GSL-S1</v>
          </cell>
          <cell r="B417" t="str">
            <v>VAR_cap</v>
          </cell>
          <cell r="C417" t="str">
            <v>-</v>
          </cell>
          <cell r="H417">
            <v>0.13372736703542989</v>
          </cell>
          <cell r="I417">
            <v>4.5088031724777732E-2</v>
          </cell>
          <cell r="J417">
            <v>8.6220893128495404E-6</v>
          </cell>
        </row>
        <row r="418">
          <cell r="A418" t="str">
            <v>V2G</v>
          </cell>
          <cell r="B418" t="str">
            <v>VAR_fout</v>
          </cell>
          <cell r="C418" t="str">
            <v>ELC35</v>
          </cell>
          <cell r="H418">
            <v>3.4689545837608554E-3</v>
          </cell>
          <cell r="I418">
            <v>2.9374082481378192E-3</v>
          </cell>
          <cell r="J418">
            <v>1.5871262705839993E-3</v>
          </cell>
        </row>
        <row r="419">
          <cell r="A419" t="str">
            <v>V2G</v>
          </cell>
          <cell r="B419" t="str">
            <v>VAR_fin</v>
          </cell>
          <cell r="C419" t="str">
            <v>T-ELC-Bus_c_BatSTGout_S1</v>
          </cell>
          <cell r="H419">
            <v>1.0430274742836374E-4</v>
          </cell>
          <cell r="I419">
            <v>4.9620651303652926E-5</v>
          </cell>
          <cell r="J419">
            <v>2.530901883562091E-5</v>
          </cell>
        </row>
        <row r="420">
          <cell r="A420" t="str">
            <v>V2G</v>
          </cell>
          <cell r="B420" t="str">
            <v>VAR_fin</v>
          </cell>
          <cell r="C420" t="str">
            <v>T-ELC-Bus_c_BatSTGout_S2</v>
          </cell>
          <cell r="H420">
            <v>7.237374118506148E-5</v>
          </cell>
          <cell r="I420">
            <v>4.9322956378619968E-5</v>
          </cell>
          <cell r="J420">
            <v>2.798484758530212E-5</v>
          </cell>
        </row>
        <row r="421">
          <cell r="A421" t="str">
            <v>V2G</v>
          </cell>
          <cell r="B421" t="str">
            <v>VAR_fin</v>
          </cell>
          <cell r="C421" t="str">
            <v>T-ELC-Bus_c_BatSTGout_S3</v>
          </cell>
          <cell r="H421">
            <v>3.6279052366576356E-5</v>
          </cell>
          <cell r="I421">
            <v>3.2843927489121479E-5</v>
          </cell>
          <cell r="J421">
            <v>2.430769800817139E-5</v>
          </cell>
        </row>
        <row r="422">
          <cell r="A422" t="str">
            <v>V2G</v>
          </cell>
          <cell r="B422" t="str">
            <v>VAR_fin</v>
          </cell>
          <cell r="C422" t="str">
            <v>T-ELC-Bus_c_BatSTGout_S4</v>
          </cell>
          <cell r="H422">
            <v>4.0115338658232044E-5</v>
          </cell>
          <cell r="I422">
            <v>3.715478548323762E-5</v>
          </cell>
          <cell r="J422">
            <v>3.1012268879200826E-5</v>
          </cell>
        </row>
        <row r="423">
          <cell r="A423" t="str">
            <v>V2G</v>
          </cell>
          <cell r="B423" t="str">
            <v>VAR_fin</v>
          </cell>
          <cell r="C423" t="str">
            <v>T-ELC-car-BatSTGOut_S1</v>
          </cell>
          <cell r="H423">
            <v>3.5857142288097396E-4</v>
          </cell>
          <cell r="I423">
            <v>1.3814638619327063E-4</v>
          </cell>
          <cell r="J423">
            <v>4.299935237033394E-5</v>
          </cell>
        </row>
        <row r="424">
          <cell r="A424" t="str">
            <v>V2G</v>
          </cell>
          <cell r="B424" t="str">
            <v>VAR_fin</v>
          </cell>
          <cell r="C424" t="str">
            <v>T-ELC-car-BatSTGOut_S2</v>
          </cell>
          <cell r="H424">
            <v>1.0308434985639482E-4</v>
          </cell>
          <cell r="I424">
            <v>6.5639250860319618E-5</v>
          </cell>
          <cell r="J424">
            <v>3.4447199858568474E-5</v>
          </cell>
        </row>
        <row r="425">
          <cell r="A425" t="str">
            <v>V2G</v>
          </cell>
          <cell r="B425" t="str">
            <v>VAR_fin</v>
          </cell>
          <cell r="C425" t="str">
            <v>T-ELC-car-BatSTGOut_S3</v>
          </cell>
          <cell r="H425">
            <v>1.095159991895362E-4</v>
          </cell>
          <cell r="I425">
            <v>6.8491059339892041E-5</v>
          </cell>
          <cell r="J425">
            <v>3.5572835633770531E-5</v>
          </cell>
        </row>
        <row r="426">
          <cell r="A426" t="str">
            <v>V2G</v>
          </cell>
          <cell r="B426" t="str">
            <v>VAR_fin</v>
          </cell>
          <cell r="C426" t="str">
            <v>T-ELC-car-BatSTGOut_S4</v>
          </cell>
          <cell r="H426">
            <v>1.0321171654155218E-4</v>
          </cell>
          <cell r="I426">
            <v>6.5956761987444703E-5</v>
          </cell>
          <cell r="J426">
            <v>3.4093533252467709E-5</v>
          </cell>
        </row>
        <row r="427">
          <cell r="A427" t="str">
            <v>V2G</v>
          </cell>
          <cell r="B427" t="str">
            <v>VAR_fin</v>
          </cell>
          <cell r="C427" t="str">
            <v>T-ELC-car-PlgSTGOut_S1</v>
          </cell>
          <cell r="H427">
            <v>1.5181705079892369E-4</v>
          </cell>
          <cell r="I427">
            <v>1.808413513489434E-4</v>
          </cell>
          <cell r="J427">
            <v>1.4567922307830001E-4</v>
          </cell>
        </row>
        <row r="428">
          <cell r="A428" t="str">
            <v>V2G</v>
          </cell>
          <cell r="B428" t="str">
            <v>VAR_fin</v>
          </cell>
          <cell r="C428" t="str">
            <v>T-ELC-car-PlgSTGOut_S2</v>
          </cell>
          <cell r="H428">
            <v>5.6130992621505682E-5</v>
          </cell>
          <cell r="I428">
            <v>1.1690026252833313E-4</v>
          </cell>
          <cell r="J428">
            <v>4.5619640210569452E-5</v>
          </cell>
        </row>
        <row r="429">
          <cell r="A429" t="str">
            <v>V2G</v>
          </cell>
          <cell r="B429" t="str">
            <v>VAR_fin</v>
          </cell>
          <cell r="C429" t="str">
            <v>T-ELC-car-PlgSTGOut_S3</v>
          </cell>
          <cell r="H429">
            <v>1.0453058284304709E-4</v>
          </cell>
          <cell r="I429">
            <v>6.883385526986785E-5</v>
          </cell>
          <cell r="J429">
            <v>3.5322094579608798E-5</v>
          </cell>
        </row>
        <row r="430">
          <cell r="A430" t="str">
            <v>V2G</v>
          </cell>
          <cell r="B430" t="str">
            <v>VAR_fin</v>
          </cell>
          <cell r="C430" t="str">
            <v>T-ELC-TWSTGout_S1</v>
          </cell>
          <cell r="H430">
            <v>3.4718382384463784E-4</v>
          </cell>
          <cell r="I430">
            <v>2.6567031135601998E-4</v>
          </cell>
          <cell r="J430">
            <v>1.2526623243750372E-4</v>
          </cell>
        </row>
        <row r="431">
          <cell r="A431" t="str">
            <v>V2G</v>
          </cell>
          <cell r="B431" t="str">
            <v>VAR_fin</v>
          </cell>
          <cell r="C431" t="str">
            <v>T-ELC-car-PlgSTGOut_S4</v>
          </cell>
          <cell r="H431">
            <v>1.0152880593373798E-4</v>
          </cell>
          <cell r="I431">
            <v>1.9832737475560476E-4</v>
          </cell>
          <cell r="J431">
            <v>8.9680333722219369E-5</v>
          </cell>
        </row>
        <row r="432">
          <cell r="A432" t="str">
            <v>V2G</v>
          </cell>
          <cell r="B432" t="str">
            <v>VAR_fin</v>
          </cell>
          <cell r="C432" t="str">
            <v>T-ELC-TWSTGout_S2</v>
          </cell>
          <cell r="H432">
            <v>4.2171330589274911E-4</v>
          </cell>
          <cell r="I432">
            <v>3.3372832554693239E-4</v>
          </cell>
          <cell r="J432">
            <v>1.6864336757622267E-4</v>
          </cell>
        </row>
        <row r="433">
          <cell r="A433" t="str">
            <v>V2G</v>
          </cell>
          <cell r="B433" t="str">
            <v>VAR_fin</v>
          </cell>
          <cell r="C433" t="str">
            <v>T-ELC-TWSTGout_S3</v>
          </cell>
          <cell r="H433">
            <v>5.415456502624597E-4</v>
          </cell>
          <cell r="I433">
            <v>4.8452054132771307E-4</v>
          </cell>
          <cell r="J433">
            <v>2.3764993842243735E-4</v>
          </cell>
        </row>
        <row r="434">
          <cell r="A434" t="str">
            <v>V2G</v>
          </cell>
          <cell r="B434" t="str">
            <v>VAR_fin</v>
          </cell>
          <cell r="C434" t="str">
            <v>T-ELC-TWSTGout_S4</v>
          </cell>
          <cell r="H434">
            <v>5.717108784002782E-4</v>
          </cell>
          <cell r="I434">
            <v>5.685002971996413E-4</v>
          </cell>
          <cell r="J434">
            <v>3.5979850093319319E-4</v>
          </cell>
        </row>
        <row r="435">
          <cell r="A435" t="str">
            <v>V2G</v>
          </cell>
          <cell r="B435" t="str">
            <v>VAR_fin</v>
          </cell>
          <cell r="C435" t="str">
            <v>T-ELC-Bus_u_BatSTGout_S1</v>
          </cell>
          <cell r="H435">
            <v>3.3868238116872982E-5</v>
          </cell>
          <cell r="I435">
            <v>2.13450383816063E-5</v>
          </cell>
          <cell r="J435">
            <v>1.7752163656107369E-5</v>
          </cell>
        </row>
        <row r="436">
          <cell r="A436" t="str">
            <v>V2G</v>
          </cell>
          <cell r="B436" t="str">
            <v>VAR_fin</v>
          </cell>
          <cell r="C436" t="str">
            <v>T-ELC-Bus_u_BatSTGout_S2</v>
          </cell>
          <cell r="H436">
            <v>2.6464314395238365E-5</v>
          </cell>
          <cell r="I436">
            <v>2.0517344489000697E-5</v>
          </cell>
          <cell r="J436">
            <v>1.4470608780197093E-5</v>
          </cell>
        </row>
        <row r="437">
          <cell r="A437" t="str">
            <v>V2G</v>
          </cell>
          <cell r="B437" t="str">
            <v>VAR_fin</v>
          </cell>
          <cell r="C437" t="str">
            <v>T-ELC-Bus_u_BatSTGout_S3</v>
          </cell>
          <cell r="H437">
            <v>1.2968107876467516E-5</v>
          </cell>
          <cell r="I437">
            <v>1.1574139979822311E-5</v>
          </cell>
          <cell r="J437">
            <v>8.8616114869250044E-6</v>
          </cell>
        </row>
        <row r="438">
          <cell r="A438" t="str">
            <v>V2G</v>
          </cell>
          <cell r="B438" t="str">
            <v>VAR_fin</v>
          </cell>
          <cell r="C438" t="str">
            <v>T-ELC-Bus_u_BatSTGout_S4</v>
          </cell>
          <cell r="H438">
            <v>2.9661803358566325E-5</v>
          </cell>
          <cell r="I438">
            <v>3.1202505625163954E-5</v>
          </cell>
          <cell r="J438">
            <v>2.0295038373184938E-5</v>
          </cell>
        </row>
        <row r="439">
          <cell r="A439" t="str">
            <v>V2G</v>
          </cell>
          <cell r="B439" t="str">
            <v>VAR_fin</v>
          </cell>
          <cell r="C439" t="str">
            <v>T-ELC-LGV_BatSTGout</v>
          </cell>
          <cell r="H439">
            <v>7.3173355435943819E-5</v>
          </cell>
          <cell r="I439">
            <v>5.075187320949276E-5</v>
          </cell>
          <cell r="J439">
            <v>2.97208273788898E-5</v>
          </cell>
        </row>
        <row r="440">
          <cell r="A440" t="str">
            <v>V2G</v>
          </cell>
          <cell r="B440" t="str">
            <v>VAR_fin</v>
          </cell>
          <cell r="C440" t="str">
            <v>T-ELC-HGV_BatSTGout</v>
          </cell>
          <cell r="H440">
            <v>9.2918596954896953E-5</v>
          </cell>
          <cell r="I440">
            <v>9.8591478606229211E-5</v>
          </cell>
          <cell r="J440">
            <v>5.1668777617879831E-5</v>
          </cell>
        </row>
        <row r="441">
          <cell r="A441" t="str">
            <v>V2G</v>
          </cell>
          <cell r="B441" t="str">
            <v>VAR_ncap</v>
          </cell>
          <cell r="C441" t="str">
            <v>-</v>
          </cell>
          <cell r="H441">
            <v>4.0360814373453899E-4</v>
          </cell>
          <cell r="I441">
            <v>8.6655356335132194E-5</v>
          </cell>
          <cell r="J441">
            <v>1.4231295893377E-4</v>
          </cell>
        </row>
        <row r="442">
          <cell r="A442" t="str">
            <v>V2G</v>
          </cell>
          <cell r="B442" t="str">
            <v>VAR_cap</v>
          </cell>
          <cell r="C442" t="str">
            <v>-</v>
          </cell>
          <cell r="H442">
            <v>8.5657560806004756E-4</v>
          </cell>
          <cell r="I442">
            <v>7.9858636249962385E-4</v>
          </cell>
          <cell r="J442">
            <v>3.7515381742118546E-4</v>
          </cell>
        </row>
        <row r="443">
          <cell r="A443" t="str">
            <v>TPSHPELCEXT</v>
          </cell>
          <cell r="B443" t="str">
            <v>VAR_fout</v>
          </cell>
          <cell r="C443" t="str">
            <v>TPSHP</v>
          </cell>
          <cell r="H443">
            <v>8.9498076880903402E-2</v>
          </cell>
          <cell r="I443">
            <v>8.1458969301104904</v>
          </cell>
          <cell r="J443">
            <v>14.1325325178481</v>
          </cell>
        </row>
        <row r="444">
          <cell r="A444" t="str">
            <v>TPSHPELCEXT</v>
          </cell>
          <cell r="B444" t="str">
            <v>VAR_fin</v>
          </cell>
          <cell r="C444" t="str">
            <v>TELC</v>
          </cell>
          <cell r="H444">
            <v>3.627234833939693E-2</v>
          </cell>
          <cell r="I444">
            <v>3.3014207822474009</v>
          </cell>
          <cell r="J444">
            <v>5.7277224301410676</v>
          </cell>
        </row>
        <row r="445">
          <cell r="A445" t="str">
            <v>TPSHPELCEXT</v>
          </cell>
          <cell r="B445" t="str">
            <v>VAR_ncap</v>
          </cell>
          <cell r="C445" t="str">
            <v>-</v>
          </cell>
          <cell r="H445">
            <v>9.3343993308070005E-7</v>
          </cell>
          <cell r="I445">
            <v>8.0994913371698107</v>
          </cell>
          <cell r="J445">
            <v>6.0330252696719597</v>
          </cell>
        </row>
        <row r="446">
          <cell r="A446" t="str">
            <v>TPSHPELCEXT</v>
          </cell>
          <cell r="B446" t="str">
            <v>VAR_cap</v>
          </cell>
          <cell r="C446" t="str">
            <v>-</v>
          </cell>
          <cell r="H446">
            <v>8.9492128572340679E-2</v>
          </cell>
          <cell r="I446">
            <v>8.1458938512871892</v>
          </cell>
          <cell r="J446">
            <v>14.132516826491658</v>
          </cell>
        </row>
        <row r="447">
          <cell r="A447" t="str">
            <v>TFLGV-ICEGSL</v>
          </cell>
          <cell r="B447" t="str">
            <v>VAR_fout</v>
          </cell>
          <cell r="C447" t="str">
            <v>CO2_T</v>
          </cell>
          <cell r="H447">
            <v>146.39767728172779</v>
          </cell>
          <cell r="I447">
            <v>85.241791845649587</v>
          </cell>
          <cell r="J447">
            <v>85.274002957378528</v>
          </cell>
        </row>
        <row r="448">
          <cell r="A448" t="str">
            <v>TFLGV-ICEGSL</v>
          </cell>
          <cell r="B448" t="str">
            <v>VAR_fout</v>
          </cell>
          <cell r="C448" t="str">
            <v>TFLGV</v>
          </cell>
          <cell r="H448">
            <v>0.69673711940694916</v>
          </cell>
          <cell r="I448">
            <v>0.40568348901692142</v>
          </cell>
          <cell r="J448">
            <v>0.40583678842450527</v>
          </cell>
        </row>
        <row r="449">
          <cell r="A449" t="str">
            <v>TFLGV-ICEGSL</v>
          </cell>
          <cell r="B449" t="str">
            <v>VAR_fin</v>
          </cell>
          <cell r="C449" t="str">
            <v>TGSL</v>
          </cell>
          <cell r="H449">
            <v>1.9837083642510525</v>
          </cell>
          <cell r="I449">
            <v>1.155037829886852</v>
          </cell>
          <cell r="J449">
            <v>1.1554742948154282</v>
          </cell>
        </row>
        <row r="450">
          <cell r="A450" t="str">
            <v>TFLGV-ICEGSL</v>
          </cell>
          <cell r="B450" t="str">
            <v>VAR_ncap</v>
          </cell>
          <cell r="C450" t="str">
            <v>-</v>
          </cell>
          <cell r="H450">
            <v>3.5511410561358897E-2</v>
          </cell>
          <cell r="I450">
            <v>6.8984629332748997E-6</v>
          </cell>
          <cell r="J450">
            <v>3.4173332712722701E-2</v>
          </cell>
        </row>
        <row r="451">
          <cell r="A451" t="str">
            <v>TFLGV-ICEGSL</v>
          </cell>
          <cell r="B451" t="str">
            <v>VAR_cap</v>
          </cell>
          <cell r="C451" t="str">
            <v>-</v>
          </cell>
          <cell r="H451">
            <v>6.9369651815713307E-2</v>
          </cell>
          <cell r="I451">
            <v>4.03912395947802E-2</v>
          </cell>
          <cell r="J451">
            <v>4.0408641341711501E-2</v>
          </cell>
        </row>
        <row r="452">
          <cell r="A452" t="str">
            <v>T_C-ICE-GSL-S2</v>
          </cell>
          <cell r="B452" t="str">
            <v>VAR_fout</v>
          </cell>
          <cell r="C452" t="str">
            <v>CO2_T</v>
          </cell>
          <cell r="H452">
            <v>55.568801923158787</v>
          </cell>
          <cell r="I452">
            <v>5.9510763988578859</v>
          </cell>
          <cell r="J452">
            <v>1.323581936636843E-2</v>
          </cell>
        </row>
        <row r="453">
          <cell r="A453" t="str">
            <v>T_C-ICE-GSL-S2</v>
          </cell>
          <cell r="B453" t="str">
            <v>VAR_fout</v>
          </cell>
          <cell r="C453" t="str">
            <v>TPCAR</v>
          </cell>
          <cell r="H453">
            <v>0.42545468091051541</v>
          </cell>
          <cell r="I453">
            <v>4.4615821510586268E-2</v>
          </cell>
          <cell r="J453">
            <v>9.7490311047043635E-5</v>
          </cell>
        </row>
        <row r="454">
          <cell r="A454" t="str">
            <v>T_C-ICE-GSL-S2</v>
          </cell>
          <cell r="B454" t="str">
            <v>VAR_fin</v>
          </cell>
          <cell r="C454" t="str">
            <v>TGSL</v>
          </cell>
          <cell r="H454">
            <v>0.75296479570675845</v>
          </cell>
          <cell r="I454">
            <v>8.0637891583440133E-2</v>
          </cell>
          <cell r="J454">
            <v>1.7934714588575099E-4</v>
          </cell>
        </row>
        <row r="455">
          <cell r="A455" t="str">
            <v>T_C-ICE-GSL-S2</v>
          </cell>
          <cell r="B455" t="str">
            <v>VAR_ncap</v>
          </cell>
          <cell r="C455" t="str">
            <v>-</v>
          </cell>
          <cell r="H455">
            <v>1.6441749267787999E-5</v>
          </cell>
          <cell r="I455">
            <v>6.8983828666420698E-6</v>
          </cell>
          <cell r="J455">
            <v>2.4663626010471598E-6</v>
          </cell>
        </row>
        <row r="456">
          <cell r="A456" t="str">
            <v>T_C-ICE-GSL-S2</v>
          </cell>
          <cell r="B456" t="str">
            <v>VAR_cap</v>
          </cell>
          <cell r="C456" t="str">
            <v>-</v>
          </cell>
          <cell r="H456">
            <v>4.4864835364693101E-2</v>
          </cell>
          <cell r="I456">
            <v>4.7013988563318681E-3</v>
          </cell>
          <cell r="J456">
            <v>9.6979298080232397E-6</v>
          </cell>
        </row>
        <row r="457">
          <cell r="A457" t="str">
            <v>T_C-ICE-DSL-S1</v>
          </cell>
          <cell r="B457" t="str">
            <v>VAR_fout</v>
          </cell>
          <cell r="C457" t="str">
            <v>CO2_T</v>
          </cell>
          <cell r="H457">
            <v>2.0919155715948979E-2</v>
          </cell>
          <cell r="I457">
            <v>1.0519495458659506E-2</v>
          </cell>
          <cell r="J457">
            <v>3.6066244863988762E-3</v>
          </cell>
        </row>
        <row r="458">
          <cell r="A458" t="str">
            <v>T_C-ICE-DSL-S1</v>
          </cell>
          <cell r="B458" t="str">
            <v>VAR_fout</v>
          </cell>
          <cell r="C458" t="str">
            <v>TPCAR</v>
          </cell>
          <cell r="H458">
            <v>2.1996559751385748E-4</v>
          </cell>
          <cell r="I458">
            <v>9.4932904480565293E-5</v>
          </cell>
          <cell r="J458">
            <v>3.4450763582225401E-5</v>
          </cell>
        </row>
        <row r="459">
          <cell r="A459" t="str">
            <v>T_C-ICE-DSL-S1</v>
          </cell>
          <cell r="B459" t="str">
            <v>VAR_fin</v>
          </cell>
          <cell r="C459" t="str">
            <v>TDSL</v>
          </cell>
          <cell r="H459">
            <v>2.8539093746178653E-4</v>
          </cell>
          <cell r="I459">
            <v>1.435128984810301E-4</v>
          </cell>
          <cell r="J459">
            <v>4.9203608272835959E-5</v>
          </cell>
        </row>
        <row r="460">
          <cell r="A460" t="str">
            <v>T_C-ICE-DSL-S1</v>
          </cell>
          <cell r="B460" t="str">
            <v>VAR_ncap</v>
          </cell>
          <cell r="C460" t="str">
            <v>-</v>
          </cell>
          <cell r="H460">
            <v>6.9005193364650102E-6</v>
          </cell>
          <cell r="I460">
            <v>3.8777179078694997E-6</v>
          </cell>
          <cell r="J460">
            <v>1.6447668529902799E-6</v>
          </cell>
        </row>
        <row r="461">
          <cell r="A461" t="str">
            <v>T_C-ICE-DSL-S1</v>
          </cell>
          <cell r="B461" t="str">
            <v>VAR_cap</v>
          </cell>
          <cell r="C461" t="str">
            <v>-</v>
          </cell>
          <cell r="H461">
            <v>3.22844532649756E-5</v>
          </cell>
          <cell r="I461">
            <v>1.3803848689525729E-5</v>
          </cell>
          <cell r="J461">
            <v>5.0873369968512303E-6</v>
          </cell>
        </row>
        <row r="462">
          <cell r="A462" t="str">
            <v>T_C-ICE-GSL-S3</v>
          </cell>
          <cell r="B462" t="str">
            <v>VAR_fout</v>
          </cell>
          <cell r="C462" t="str">
            <v>CO2_T</v>
          </cell>
          <cell r="H462">
            <v>83.891270264620431</v>
          </cell>
          <cell r="I462">
            <v>8.8084041805655691</v>
          </cell>
          <cell r="J462">
            <v>1.7460676187763861E-2</v>
          </cell>
        </row>
        <row r="463">
          <cell r="A463" t="str">
            <v>T_C-ICE-GSL-S3</v>
          </cell>
          <cell r="B463" t="str">
            <v>VAR_fout</v>
          </cell>
          <cell r="C463" t="str">
            <v>TPCAR</v>
          </cell>
          <cell r="H463">
            <v>0.55760189304647723</v>
          </cell>
          <cell r="I463">
            <v>5.755675656364715E-2</v>
          </cell>
          <cell r="J463">
            <v>1.2171617988376484E-4</v>
          </cell>
        </row>
        <row r="464">
          <cell r="A464" t="str">
            <v>T_C-ICE-GSL-S3</v>
          </cell>
          <cell r="B464" t="str">
            <v>VAR_fin</v>
          </cell>
          <cell r="C464" t="str">
            <v>TGSL</v>
          </cell>
          <cell r="H464">
            <v>1.1367380794664026</v>
          </cell>
          <cell r="I464">
            <v>0.11935507019736555</v>
          </cell>
          <cell r="J464">
            <v>2.3659452828948363E-4</v>
          </cell>
        </row>
        <row r="465">
          <cell r="A465" t="str">
            <v>T_C-ICE-GSL-S3</v>
          </cell>
          <cell r="B465" t="str">
            <v>VAR_ncap</v>
          </cell>
          <cell r="C465" t="str">
            <v>-</v>
          </cell>
          <cell r="H465">
            <v>1.3527157118439599E-5</v>
          </cell>
          <cell r="I465">
            <v>7.8212697091300298E-6</v>
          </cell>
          <cell r="J465">
            <v>3.4185518601605098E-6</v>
          </cell>
        </row>
        <row r="466">
          <cell r="A466" t="str">
            <v>T_C-ICE-GSL-S3</v>
          </cell>
          <cell r="B466" t="str">
            <v>VAR_cap</v>
          </cell>
          <cell r="C466" t="str">
            <v>-</v>
          </cell>
          <cell r="H466">
            <v>3.8345802630797711E-2</v>
          </cell>
          <cell r="I466">
            <v>3.960200671635208E-3</v>
          </cell>
          <cell r="J466">
            <v>1.02497082152182E-5</v>
          </cell>
        </row>
        <row r="467">
          <cell r="A467" t="str">
            <v>T_C-ICE-DSL-S2</v>
          </cell>
          <cell r="B467" t="str">
            <v>VAR_fout</v>
          </cell>
          <cell r="C467" t="str">
            <v>CO2_T</v>
          </cell>
          <cell r="H467">
            <v>1.4992538445869996</v>
          </cell>
          <cell r="I467">
            <v>1.5326451372637995E-2</v>
          </cell>
          <cell r="J467">
            <v>5.7837115771419492E-3</v>
          </cell>
        </row>
        <row r="468">
          <cell r="A468" t="str">
            <v>T_C-ICE-DSL-S2</v>
          </cell>
          <cell r="B468" t="str">
            <v>VAR_fout</v>
          </cell>
          <cell r="C468" t="str">
            <v>TPCAR</v>
          </cell>
          <cell r="H468">
            <v>1.6953226133201701E-2</v>
          </cell>
          <cell r="I468">
            <v>1.1155765414845825E-4</v>
          </cell>
          <cell r="J468">
            <v>4.4455327888985135E-5</v>
          </cell>
        </row>
        <row r="469">
          <cell r="A469" t="str">
            <v>T_C-ICE-DSL-S2</v>
          </cell>
          <cell r="B469" t="str">
            <v>VAR_fin</v>
          </cell>
          <cell r="C469" t="str">
            <v>TDSL</v>
          </cell>
          <cell r="H469">
            <v>2.0453667729699847E-2</v>
          </cell>
          <cell r="I469">
            <v>2.0909210603871746E-4</v>
          </cell>
          <cell r="J469">
            <v>7.8904659988293904E-5</v>
          </cell>
        </row>
        <row r="470">
          <cell r="A470" t="str">
            <v>T_C-ICE-DSL-S2</v>
          </cell>
          <cell r="B470" t="str">
            <v>VAR_ncap</v>
          </cell>
          <cell r="C470" t="str">
            <v>-</v>
          </cell>
          <cell r="H470">
            <v>5.6596426967554296E-6</v>
          </cell>
          <cell r="I470">
            <v>3.2434485703492401E-6</v>
          </cell>
          <cell r="J470">
            <v>1.4366289549309601E-6</v>
          </cell>
        </row>
        <row r="471">
          <cell r="A471" t="str">
            <v>T_C-ICE-DSL-S2</v>
          </cell>
          <cell r="B471" t="str">
            <v>VAR_cap</v>
          </cell>
          <cell r="C471" t="str">
            <v>-</v>
          </cell>
          <cell r="H471">
            <v>1.7790743112127564E-3</v>
          </cell>
          <cell r="I471">
            <v>1.01728684525973E-5</v>
          </cell>
          <cell r="J471">
            <v>4.2791802290820798E-6</v>
          </cell>
        </row>
        <row r="472">
          <cell r="A472" t="str">
            <v>TPRLPH2OFCL</v>
          </cell>
          <cell r="B472" t="str">
            <v>VAR_fout</v>
          </cell>
          <cell r="C472" t="str">
            <v>TPRLP</v>
          </cell>
          <cell r="J472">
            <v>2.3692240234702451E-7</v>
          </cell>
        </row>
        <row r="473">
          <cell r="A473" t="str">
            <v>TPRLPH2OFCL</v>
          </cell>
          <cell r="B473" t="str">
            <v>VAR_fin</v>
          </cell>
          <cell r="C473" t="str">
            <v>TH2O</v>
          </cell>
          <cell r="J473">
            <v>1.2263015188546992E-5</v>
          </cell>
        </row>
        <row r="474">
          <cell r="A474" t="str">
            <v>T_C-ICE-GSL-S4</v>
          </cell>
          <cell r="B474" t="str">
            <v>VAR_fout</v>
          </cell>
          <cell r="C474" t="str">
            <v>CO2_T</v>
          </cell>
          <cell r="H474">
            <v>913.99288029644038</v>
          </cell>
          <cell r="I474">
            <v>1273.7831508349416</v>
          </cell>
          <cell r="J474">
            <v>1044.710476274724</v>
          </cell>
        </row>
        <row r="475">
          <cell r="A475" t="str">
            <v>T_C-ICE-GSL-S4</v>
          </cell>
          <cell r="B475" t="str">
            <v>VAR_fout</v>
          </cell>
          <cell r="C475" t="str">
            <v>TPCAR</v>
          </cell>
          <cell r="H475">
            <v>5.7898617123891825</v>
          </cell>
          <cell r="I475">
            <v>8.4476771261989096</v>
          </cell>
          <cell r="J475">
            <v>7.81439394017693</v>
          </cell>
        </row>
        <row r="476">
          <cell r="A476" t="str">
            <v>T_C-ICE-GSL-S4</v>
          </cell>
          <cell r="B476" t="str">
            <v>VAR_fin</v>
          </cell>
          <cell r="C476" t="str">
            <v>TGSL</v>
          </cell>
          <cell r="H476">
            <v>12.384727375290529</v>
          </cell>
          <cell r="I476">
            <v>17.259934293156395</v>
          </cell>
          <cell r="J476">
            <v>14.155968513207661</v>
          </cell>
        </row>
        <row r="477">
          <cell r="A477" t="str">
            <v>T_C-ICE-GSL-S4</v>
          </cell>
          <cell r="B477" t="str">
            <v>VAR_ncap</v>
          </cell>
          <cell r="C477" t="str">
            <v>-</v>
          </cell>
          <cell r="H477">
            <v>0.57424793687695497</v>
          </cell>
          <cell r="I477">
            <v>0.33886865810351302</v>
          </cell>
          <cell r="J477">
            <v>0.66116996777924997</v>
          </cell>
        </row>
        <row r="478">
          <cell r="A478" t="str">
            <v>T_C-ICE-GSL-S4</v>
          </cell>
          <cell r="B478" t="str">
            <v>VAR_cap</v>
          </cell>
          <cell r="C478" t="str">
            <v>-</v>
          </cell>
          <cell r="H478">
            <v>0.65125345013348068</v>
          </cell>
          <cell r="I478">
            <v>0.82525918438482493</v>
          </cell>
          <cell r="J478">
            <v>0.87900610259244905</v>
          </cell>
        </row>
        <row r="479">
          <cell r="A479" t="str">
            <v>T_C-ICE-DSL-S3</v>
          </cell>
          <cell r="B479" t="str">
            <v>VAR_fout</v>
          </cell>
          <cell r="C479" t="str">
            <v>CO2_T</v>
          </cell>
          <cell r="H479">
            <v>10.130443835839623</v>
          </cell>
          <cell r="I479">
            <v>1.70281472752285E-2</v>
          </cell>
          <cell r="J479">
            <v>7.0854789142621409E-3</v>
          </cell>
        </row>
        <row r="480">
          <cell r="A480" t="str">
            <v>T_C-ICE-DSL-S3</v>
          </cell>
          <cell r="B480" t="str">
            <v>VAR_fout</v>
          </cell>
          <cell r="C480" t="str">
            <v>TPCAR</v>
          </cell>
          <cell r="H480">
            <v>8.1722155343969177E-2</v>
          </cell>
          <cell r="I480">
            <v>1.1458630373730776E-4</v>
          </cell>
          <cell r="J480">
            <v>5.1118620692082646E-5</v>
          </cell>
        </row>
        <row r="481">
          <cell r="A481" t="str">
            <v>T_C-ICE-DSL-S3</v>
          </cell>
          <cell r="B481" t="str">
            <v>VAR_fin</v>
          </cell>
          <cell r="C481" t="str">
            <v>TDSL</v>
          </cell>
          <cell r="H481">
            <v>0.13820523650531552</v>
          </cell>
          <cell r="I481">
            <v>2.3230760266341744E-4</v>
          </cell>
          <cell r="J481">
            <v>9.6664105242321051E-5</v>
          </cell>
        </row>
        <row r="482">
          <cell r="A482" t="str">
            <v>T_C-ICE-DSL-S3</v>
          </cell>
          <cell r="B482" t="str">
            <v>VAR_ncap</v>
          </cell>
          <cell r="C482" t="str">
            <v>-</v>
          </cell>
          <cell r="H482">
            <v>4.6895828669482401E-6</v>
          </cell>
          <cell r="I482">
            <v>3.1274223647598302E-6</v>
          </cell>
          <cell r="J482">
            <v>1.6348727601365299E-6</v>
          </cell>
        </row>
        <row r="483">
          <cell r="A483" t="str">
            <v>T_C-ICE-DSL-S3</v>
          </cell>
          <cell r="B483" t="str">
            <v>VAR_cap</v>
          </cell>
          <cell r="C483" t="str">
            <v>-</v>
          </cell>
          <cell r="H483">
            <v>5.6225412061822007E-3</v>
          </cell>
          <cell r="I483">
            <v>8.66694164836364E-6</v>
          </cell>
          <cell r="J483">
            <v>4.1475382809030401E-6</v>
          </cell>
        </row>
        <row r="484">
          <cell r="A484" t="str">
            <v>T_C-ICE-DSL-S4</v>
          </cell>
          <cell r="B484" t="str">
            <v>VAR_fout</v>
          </cell>
          <cell r="C484" t="str">
            <v>CO2_T</v>
          </cell>
          <cell r="H484">
            <v>5.636129542651271</v>
          </cell>
          <cell r="I484">
            <v>9.9667044501072811E-3</v>
          </cell>
          <cell r="J484">
            <v>4.74839508358067E-3</v>
          </cell>
        </row>
        <row r="485">
          <cell r="A485" t="str">
            <v>T_C-ICE-DSL-S4</v>
          </cell>
          <cell r="B485" t="str">
            <v>VAR_fout</v>
          </cell>
          <cell r="C485" t="str">
            <v>TPCAR</v>
          </cell>
          <cell r="H485">
            <v>3.0033231668969096E-2</v>
          </cell>
          <cell r="I485">
            <v>6.3083311926527948E-5</v>
          </cell>
          <cell r="J485">
            <v>3.2509673917340759E-5</v>
          </cell>
        </row>
        <row r="486">
          <cell r="A486" t="str">
            <v>T_C-ICE-DSL-S4</v>
          </cell>
          <cell r="B486" t="str">
            <v>VAR_fin</v>
          </cell>
          <cell r="C486" t="str">
            <v>TDSL</v>
          </cell>
          <cell r="H486">
            <v>7.6891262519116876E-2</v>
          </cell>
          <cell r="I486">
            <v>1.3597141132479232E-4</v>
          </cell>
          <cell r="J486">
            <v>6.4780287634115473E-5</v>
          </cell>
        </row>
        <row r="487">
          <cell r="A487" t="str">
            <v>T_C-ICE-DSL-S4</v>
          </cell>
          <cell r="B487" t="str">
            <v>VAR_ncap</v>
          </cell>
          <cell r="C487" t="str">
            <v>-</v>
          </cell>
          <cell r="H487">
            <v>3.0864340241738302E-6</v>
          </cell>
          <cell r="I487">
            <v>2.3001040062525299E-6</v>
          </cell>
          <cell r="J487">
            <v>1.39529450530611E-6</v>
          </cell>
        </row>
        <row r="488">
          <cell r="A488" t="str">
            <v>T_C-ICE-DSL-S4</v>
          </cell>
          <cell r="B488" t="str">
            <v>VAR_cap</v>
          </cell>
          <cell r="C488" t="str">
            <v>-</v>
          </cell>
          <cell r="H488">
            <v>3.3712140733324078E-3</v>
          </cell>
          <cell r="I488">
            <v>5.8232059994137001E-6</v>
          </cell>
          <cell r="J488">
            <v>3.12448701610386E-6</v>
          </cell>
        </row>
        <row r="489">
          <cell r="A489" t="str">
            <v>TFLGV-ICENGAExt</v>
          </cell>
          <cell r="B489" t="str">
            <v>VAR_fout</v>
          </cell>
          <cell r="C489" t="str">
            <v>CO2_T</v>
          </cell>
        </row>
        <row r="490">
          <cell r="A490" t="str">
            <v>TFLGV-ICENGAExt</v>
          </cell>
          <cell r="B490" t="str">
            <v>VAR_fout</v>
          </cell>
          <cell r="C490" t="str">
            <v>TFLGV</v>
          </cell>
        </row>
        <row r="491">
          <cell r="A491" t="str">
            <v>TFLGV-ICENGAExt</v>
          </cell>
          <cell r="B491" t="str">
            <v>VAR_fin</v>
          </cell>
          <cell r="C491" t="str">
            <v>TNGA</v>
          </cell>
        </row>
        <row r="492">
          <cell r="A492" t="str">
            <v>TFLGV-ICENGAExt</v>
          </cell>
          <cell r="B492" t="str">
            <v>VAR_cap</v>
          </cell>
          <cell r="C492" t="str">
            <v>-</v>
          </cell>
        </row>
        <row r="493">
          <cell r="A493" t="str">
            <v>D-TGSL</v>
          </cell>
          <cell r="B493" t="str">
            <v>VAR_fout</v>
          </cell>
          <cell r="C493" t="str">
            <v>CO2</v>
          </cell>
          <cell r="H493">
            <v>1921.7670893350401</v>
          </cell>
          <cell r="I493">
            <v>1867.7058095678001</v>
          </cell>
          <cell r="J493">
            <v>1442.78513611222</v>
          </cell>
        </row>
        <row r="494">
          <cell r="A494" t="str">
            <v>D-TGSL</v>
          </cell>
          <cell r="B494" t="str">
            <v>VAR_fout</v>
          </cell>
          <cell r="C494" t="str">
            <v>TGSL</v>
          </cell>
          <cell r="H494">
            <v>27.20683522664649</v>
          </cell>
          <cell r="I494">
            <v>26.379821168894814</v>
          </cell>
          <cell r="J494">
            <v>20.378163488526248</v>
          </cell>
        </row>
        <row r="495">
          <cell r="A495" t="str">
            <v>D-TGSL</v>
          </cell>
          <cell r="B495" t="str">
            <v>VAR_fin</v>
          </cell>
          <cell r="C495" t="str">
            <v>GSL</v>
          </cell>
          <cell r="H495">
            <v>26.040204462534401</v>
          </cell>
          <cell r="I495">
            <v>25.307666796311594</v>
          </cell>
          <cell r="J495">
            <v>19.54993409366147</v>
          </cell>
        </row>
        <row r="496">
          <cell r="A496" t="str">
            <v>D-TGSL</v>
          </cell>
          <cell r="B496" t="str">
            <v>VAR_fin</v>
          </cell>
          <cell r="C496" t="str">
            <v>ETH</v>
          </cell>
          <cell r="H496">
            <v>1.5724288866219571</v>
          </cell>
          <cell r="I496">
            <v>1.4656171850934117</v>
          </cell>
          <cell r="J496">
            <v>1.1321761061281876</v>
          </cell>
        </row>
        <row r="497">
          <cell r="A497" t="str">
            <v>T_TW-BEVELC-S1</v>
          </cell>
          <cell r="B497" t="str">
            <v>VAR_fout</v>
          </cell>
          <cell r="C497" t="str">
            <v>TPTWL</v>
          </cell>
          <cell r="H497">
            <v>7.6901700691483458E-4</v>
          </cell>
          <cell r="I497">
            <v>9.2406929479584335E-4</v>
          </cell>
          <cell r="J497">
            <v>1.0420307568386397E-3</v>
          </cell>
        </row>
        <row r="498">
          <cell r="A498" t="str">
            <v>T_TW-BEVELC-S1</v>
          </cell>
          <cell r="B498" t="str">
            <v>VAR_fin</v>
          </cell>
          <cell r="C498" t="str">
            <v>T-ELC-TWSTGout_S1</v>
          </cell>
          <cell r="H498">
            <v>6.7019407946586047E-5</v>
          </cell>
          <cell r="I498">
            <v>7.9954821856027922E-5</v>
          </cell>
          <cell r="J498">
            <v>8.8053500990086932E-5</v>
          </cell>
        </row>
        <row r="499">
          <cell r="A499" t="str">
            <v>T_TW-BEVELC-S1</v>
          </cell>
          <cell r="B499" t="str">
            <v>VAR_ncap</v>
          </cell>
          <cell r="C499" t="str">
            <v>-</v>
          </cell>
          <cell r="H499">
            <v>2.05320564892139E-4</v>
          </cell>
          <cell r="I499">
            <v>1.12871059833087E-4</v>
          </cell>
          <cell r="J499">
            <v>2.70765762954399E-4</v>
          </cell>
        </row>
        <row r="500">
          <cell r="A500" t="str">
            <v>T_TW-BEVELC-S1</v>
          </cell>
          <cell r="B500" t="str">
            <v>VAR_cap</v>
          </cell>
          <cell r="C500" t="str">
            <v>-</v>
          </cell>
          <cell r="H500">
            <v>2.7491070651540554E-4</v>
          </cell>
          <cell r="I500">
            <v>3.2737548943232575E-4</v>
          </cell>
          <cell r="J500">
            <v>3.6338581412823025E-4</v>
          </cell>
        </row>
        <row r="501">
          <cell r="A501" t="str">
            <v>T_TW-BEVELC-S2</v>
          </cell>
          <cell r="B501" t="str">
            <v>VAR_fout</v>
          </cell>
          <cell r="C501" t="str">
            <v>TPTWL</v>
          </cell>
          <cell r="H501">
            <v>2.5064664649943969E-4</v>
          </cell>
          <cell r="I501">
            <v>1.8105114859913817E-4</v>
          </cell>
          <cell r="J501">
            <v>1.3316694685849056E-4</v>
          </cell>
        </row>
        <row r="502">
          <cell r="A502" t="str">
            <v>T_TW-BEVELC-S2</v>
          </cell>
          <cell r="B502" t="str">
            <v>VAR_fin</v>
          </cell>
          <cell r="C502" t="str">
            <v>T-ELC-TWSTGout_S2</v>
          </cell>
          <cell r="H502">
            <v>3.9094909263962628E-5</v>
          </cell>
          <cell r="I502">
            <v>2.7666000520182038E-5</v>
          </cell>
          <cell r="J502">
            <v>2.0052063199347706E-5</v>
          </cell>
        </row>
        <row r="503">
          <cell r="A503" t="str">
            <v>T_TW-BEVELC-S2</v>
          </cell>
          <cell r="B503" t="str">
            <v>VAR_ncap</v>
          </cell>
          <cell r="C503" t="str">
            <v>-</v>
          </cell>
          <cell r="H503">
            <v>3.4517852562888602E-5</v>
          </cell>
          <cell r="I503">
            <v>2.6384736420476899E-5</v>
          </cell>
          <cell r="J503">
            <v>2.0546588097282199E-5</v>
          </cell>
        </row>
        <row r="504">
          <cell r="A504" t="str">
            <v>T_TW-BEVELC-S2</v>
          </cell>
          <cell r="B504" t="str">
            <v>VAR_cap</v>
          </cell>
          <cell r="C504" t="str">
            <v>-</v>
          </cell>
          <cell r="H504">
            <v>9.4030823108494984E-5</v>
          </cell>
          <cell r="I504">
            <v>6.8039246871990939E-5</v>
          </cell>
          <cell r="J504">
            <v>4.9588447879890158E-5</v>
          </cell>
        </row>
        <row r="505">
          <cell r="A505" t="str">
            <v>TFRLFH2OFCL</v>
          </cell>
          <cell r="B505" t="str">
            <v>VAR_ncap</v>
          </cell>
          <cell r="C505" t="str">
            <v>-</v>
          </cell>
          <cell r="I505">
            <v>2.1212885962033399E-8</v>
          </cell>
        </row>
        <row r="506">
          <cell r="A506" t="str">
            <v>TFRLFH2OFCL</v>
          </cell>
          <cell r="B506" t="str">
            <v>VAR_cap</v>
          </cell>
          <cell r="C506" t="str">
            <v>-</v>
          </cell>
          <cell r="I506">
            <v>2.1212885962033399E-8</v>
          </cell>
          <cell r="J506">
            <v>2.1212885962033399E-8</v>
          </cell>
        </row>
        <row r="507">
          <cell r="A507" t="str">
            <v>T_TW-BEVELC-S3</v>
          </cell>
          <cell r="B507" t="str">
            <v>VAR_fout</v>
          </cell>
          <cell r="C507" t="str">
            <v>TPTWL</v>
          </cell>
          <cell r="H507">
            <v>5.2227530550860409E-4</v>
          </cell>
          <cell r="I507">
            <v>2.4662023534646413E-4</v>
          </cell>
          <cell r="J507">
            <v>6.8762375642585807E-5</v>
          </cell>
        </row>
        <row r="508">
          <cell r="A508" t="str">
            <v>T_TW-BEVELC-S3</v>
          </cell>
          <cell r="B508" t="str">
            <v>VAR_fin</v>
          </cell>
          <cell r="C508" t="str">
            <v>T-ELC-TWSTGout_S3</v>
          </cell>
          <cell r="H508">
            <v>1.2714644101255982E-4</v>
          </cell>
          <cell r="I508">
            <v>5.9540847612634888E-5</v>
          </cell>
          <cell r="J508">
            <v>1.5810394314089992E-5</v>
          </cell>
        </row>
        <row r="509">
          <cell r="A509" t="str">
            <v>T_TW-BEVELC-S3</v>
          </cell>
          <cell r="B509" t="str">
            <v>VAR_ncap</v>
          </cell>
          <cell r="C509" t="str">
            <v>-</v>
          </cell>
          <cell r="H509">
            <v>8.1879685348350794E-6</v>
          </cell>
          <cell r="I509">
            <v>8.0657956932130697E-6</v>
          </cell>
          <cell r="J509">
            <v>9.9522968008561807E-6</v>
          </cell>
        </row>
        <row r="510">
          <cell r="A510" t="str">
            <v>T_TW-BEVELC-S3</v>
          </cell>
          <cell r="B510" t="str">
            <v>VAR_cap</v>
          </cell>
          <cell r="C510" t="str">
            <v>-</v>
          </cell>
          <cell r="H510">
            <v>1.9148070679712021E-4</v>
          </cell>
          <cell r="I510">
            <v>9.345872091160557E-5</v>
          </cell>
          <cell r="J510">
            <v>2.6187804168368599E-5</v>
          </cell>
        </row>
        <row r="511">
          <cell r="A511" t="str">
            <v>T_TW-BEVELC-S4</v>
          </cell>
          <cell r="B511" t="str">
            <v>VAR_fout</v>
          </cell>
          <cell r="C511" t="str">
            <v>TPTWL</v>
          </cell>
          <cell r="H511">
            <v>1.408888261296442E-4</v>
          </cell>
          <cell r="I511">
            <v>1.6106717724394728E-4</v>
          </cell>
          <cell r="J511">
            <v>1.0015876513178004E-4</v>
          </cell>
        </row>
        <row r="512">
          <cell r="A512" t="str">
            <v>T_TW-BEVELC-S4</v>
          </cell>
          <cell r="B512" t="str">
            <v>VAR_fin</v>
          </cell>
          <cell r="C512" t="str">
            <v>T-ELC-TWSTGout_S4</v>
          </cell>
          <cell r="H512">
            <v>3.6926079960955512E-5</v>
          </cell>
          <cell r="I512">
            <v>4.1924749830075737E-5</v>
          </cell>
          <cell r="J512">
            <v>2.5125273583848119E-5</v>
          </cell>
        </row>
        <row r="513">
          <cell r="A513" t="str">
            <v>T_TW-BEVELC-S4</v>
          </cell>
          <cell r="B513" t="str">
            <v>VAR_ncap</v>
          </cell>
          <cell r="C513" t="str">
            <v>-</v>
          </cell>
          <cell r="H513">
            <v>7.4215920108467897E-6</v>
          </cell>
          <cell r="I513">
            <v>8.6188049633342797E-6</v>
          </cell>
          <cell r="J513">
            <v>1.2217958862688201E-5</v>
          </cell>
        </row>
        <row r="514">
          <cell r="A514" t="str">
            <v>T_TW-BEVELC-S4</v>
          </cell>
          <cell r="B514" t="str">
            <v>VAR_cap</v>
          </cell>
          <cell r="C514" t="str">
            <v>-</v>
          </cell>
          <cell r="H514">
            <v>5.3779719387103999E-5</v>
          </cell>
          <cell r="I514">
            <v>6.1768410720578704E-5</v>
          </cell>
          <cell r="J514">
            <v>3.8601815455694843E-5</v>
          </cell>
        </row>
        <row r="515">
          <cell r="A515" t="str">
            <v>T_B_u-BeVELCEXT</v>
          </cell>
          <cell r="B515" t="str">
            <v>VAR_fout</v>
          </cell>
          <cell r="C515" t="str">
            <v>TPBSu</v>
          </cell>
        </row>
        <row r="516">
          <cell r="A516" t="str">
            <v>T_B_u-BeVELCEXT</v>
          </cell>
          <cell r="B516" t="str">
            <v>VAR_fin</v>
          </cell>
          <cell r="C516" t="str">
            <v>TELC</v>
          </cell>
        </row>
        <row r="517">
          <cell r="A517" t="str">
            <v>T_B_u-BeVELCEXT</v>
          </cell>
          <cell r="B517" t="str">
            <v>VAR_cap</v>
          </cell>
          <cell r="C517" t="str">
            <v>-</v>
          </cell>
        </row>
        <row r="518">
          <cell r="A518" t="str">
            <v>T_B_u-HYBDSL-S1</v>
          </cell>
          <cell r="B518" t="str">
            <v>VAR_fout</v>
          </cell>
          <cell r="C518" t="str">
            <v>CO2_T</v>
          </cell>
          <cell r="H518">
            <v>1.2327412841457016E-2</v>
          </cell>
          <cell r="I518">
            <v>1.75281735368387E-2</v>
          </cell>
          <cell r="J518">
            <v>24.050155690172691</v>
          </cell>
        </row>
        <row r="519">
          <cell r="A519" t="str">
            <v>T_B_u-HYBDSL-S1</v>
          </cell>
          <cell r="B519" t="str">
            <v>VAR_fout</v>
          </cell>
          <cell r="C519" t="str">
            <v>TPBSu</v>
          </cell>
          <cell r="H519">
            <v>3.2302618832735594E-5</v>
          </cell>
          <cell r="I519">
            <v>4.7434710869519594E-5</v>
          </cell>
          <cell r="J519">
            <v>7.3800278468401148E-2</v>
          </cell>
        </row>
        <row r="520">
          <cell r="A520" t="str">
            <v>T_B_u-HYBDSL-S1</v>
          </cell>
          <cell r="B520" t="str">
            <v>VAR_fin</v>
          </cell>
          <cell r="C520" t="str">
            <v>TDSL</v>
          </cell>
          <cell r="H520">
            <v>1.6817752853283847E-4</v>
          </cell>
          <cell r="I520">
            <v>2.3912924334022843E-4</v>
          </cell>
          <cell r="J520">
            <v>0.32810580750576696</v>
          </cell>
        </row>
        <row r="521">
          <cell r="A521" t="str">
            <v>T_B_u-HYBDSL-S1</v>
          </cell>
          <cell r="B521" t="str">
            <v>VAR_ncap</v>
          </cell>
          <cell r="C521" t="str">
            <v>-</v>
          </cell>
          <cell r="H521">
            <v>5.8973605243875E-7</v>
          </cell>
          <cell r="I521">
            <v>3.9649885782164098E-7</v>
          </cell>
          <cell r="J521">
            <v>1.98749944032044E-3</v>
          </cell>
        </row>
        <row r="522">
          <cell r="A522" t="str">
            <v>T_B_u-HYBDSL-S1</v>
          </cell>
          <cell r="B522" t="str">
            <v>VAR_cap</v>
          </cell>
          <cell r="C522" t="str">
            <v>-</v>
          </cell>
          <cell r="H522">
            <v>7.3389462197723308E-7</v>
          </cell>
          <cell r="I522">
            <v>1.00436302652852E-6</v>
          </cell>
          <cell r="J522">
            <v>1.98780177857074E-3</v>
          </cell>
        </row>
        <row r="523">
          <cell r="A523" t="str">
            <v>T_B_u-HYBDSL-S2</v>
          </cell>
          <cell r="B523" t="str">
            <v>VAR_fout</v>
          </cell>
          <cell r="C523" t="str">
            <v>CO2_T</v>
          </cell>
          <cell r="H523">
            <v>1.2093381111529621E-2</v>
          </cell>
          <cell r="I523">
            <v>1.5338487253786996E-2</v>
          </cell>
          <cell r="J523">
            <v>1.3060464108546249E-2</v>
          </cell>
        </row>
        <row r="524">
          <cell r="A524" t="str">
            <v>T_B_u-HYBDSL-S2</v>
          </cell>
          <cell r="B524" t="str">
            <v>VAR_fout</v>
          </cell>
          <cell r="C524" t="str">
            <v>TPBSu</v>
          </cell>
          <cell r="H524">
            <v>2.2511594073883147E-5</v>
          </cell>
          <cell r="I524">
            <v>2.977216545270816E-5</v>
          </cell>
          <cell r="J524">
            <v>2.7796754268930537E-5</v>
          </cell>
        </row>
        <row r="525">
          <cell r="A525" t="str">
            <v>T_B_u-HYBDSL-S2</v>
          </cell>
          <cell r="B525" t="str">
            <v>VAR_fin</v>
          </cell>
          <cell r="C525" t="str">
            <v>TDSL</v>
          </cell>
          <cell r="H525">
            <v>1.6498473549153653E-4</v>
          </cell>
          <cell r="I525">
            <v>2.0925630632724436E-4</v>
          </cell>
          <cell r="J525">
            <v>1.7817822794742483E-4</v>
          </cell>
        </row>
        <row r="526">
          <cell r="A526" t="str">
            <v>T_B_u-HYBDSL-S2</v>
          </cell>
          <cell r="B526" t="str">
            <v>VAR_ncap</v>
          </cell>
          <cell r="C526" t="str">
            <v>-</v>
          </cell>
          <cell r="H526">
            <v>3.3530823512600002E-7</v>
          </cell>
          <cell r="I526">
            <v>2.4139482587777003E-7</v>
          </cell>
          <cell r="J526">
            <v>3.81322992787707E-7</v>
          </cell>
        </row>
        <row r="527">
          <cell r="A527" t="str">
            <v>T_B_u-HYBDSL-S2</v>
          </cell>
          <cell r="B527" t="str">
            <v>VAR_cap</v>
          </cell>
          <cell r="C527" t="str">
            <v>-</v>
          </cell>
          <cell r="H527">
            <v>4.7580162180020898E-7</v>
          </cell>
          <cell r="I527">
            <v>5.9067880393473102E-7</v>
          </cell>
          <cell r="J527">
            <v>5.6122655986867402E-7</v>
          </cell>
        </row>
        <row r="528">
          <cell r="A528" t="str">
            <v>T_B_u-HYBDSL-S3</v>
          </cell>
          <cell r="B528" t="str">
            <v>VAR_fout</v>
          </cell>
          <cell r="C528" t="str">
            <v>CO2_T</v>
          </cell>
          <cell r="H528">
            <v>82.770015825838101</v>
          </cell>
          <cell r="I528">
            <v>93.4506812615911</v>
          </cell>
          <cell r="J528">
            <v>36.704465220298999</v>
          </cell>
        </row>
        <row r="529">
          <cell r="A529" t="str">
            <v>T_B_u-HYBDSL-S3</v>
          </cell>
          <cell r="B529" t="str">
            <v>VAR_fout</v>
          </cell>
          <cell r="C529" t="str">
            <v>TPBSu</v>
          </cell>
          <cell r="H529">
            <v>0.10401641207066702</v>
          </cell>
          <cell r="I529">
            <v>0.1221463742731537</v>
          </cell>
          <cell r="J529">
            <v>5.2628332874322593E-2</v>
          </cell>
        </row>
        <row r="530">
          <cell r="A530" t="str">
            <v>T_B_u-HYBDSL-S3</v>
          </cell>
          <cell r="B530" t="str">
            <v>VAR_fin</v>
          </cell>
          <cell r="C530" t="str">
            <v>TDSL</v>
          </cell>
          <cell r="H530">
            <v>1.1291953045816949</v>
          </cell>
          <cell r="I530">
            <v>1.2749069749193871</v>
          </cell>
          <cell r="J530">
            <v>0.50074304529739377</v>
          </cell>
        </row>
        <row r="531">
          <cell r="A531" t="str">
            <v>T_B_u-HYBDSL-S3</v>
          </cell>
          <cell r="B531" t="str">
            <v>VAR_ncap</v>
          </cell>
          <cell r="C531" t="str">
            <v>-</v>
          </cell>
          <cell r="H531">
            <v>1.32932030158302E-3</v>
          </cell>
          <cell r="I531">
            <v>9.7406885811353002E-4</v>
          </cell>
          <cell r="J531">
            <v>6.5880041539070097E-4</v>
          </cell>
        </row>
        <row r="532">
          <cell r="A532" t="str">
            <v>T_B_u-HYBDSL-S3</v>
          </cell>
          <cell r="B532" t="str">
            <v>VAR_cap</v>
          </cell>
          <cell r="C532" t="str">
            <v>-</v>
          </cell>
          <cell r="H532">
            <v>1.9615168336910701E-3</v>
          </cell>
          <cell r="I532">
            <v>2.3033891596965501E-3</v>
          </cell>
          <cell r="J532">
            <v>9.9243969508658607E-4</v>
          </cell>
        </row>
        <row r="533">
          <cell r="A533" t="str">
            <v>T_C-HY-GSL-S1</v>
          </cell>
          <cell r="B533" t="str">
            <v>VAR_fout</v>
          </cell>
          <cell r="C533" t="str">
            <v>CO2_T</v>
          </cell>
          <cell r="H533">
            <v>86.567656613010698</v>
          </cell>
          <cell r="I533">
            <v>132.41894981799487</v>
          </cell>
          <cell r="J533">
            <v>124.30016973421949</v>
          </cell>
        </row>
        <row r="534">
          <cell r="A534" t="str">
            <v>T_C-HY-GSL-S1</v>
          </cell>
          <cell r="B534" t="str">
            <v>VAR_fout</v>
          </cell>
          <cell r="C534" t="str">
            <v>TPCAR</v>
          </cell>
          <cell r="H534">
            <v>1.0853495009440293</v>
          </cell>
          <cell r="I534">
            <v>1.693179339128722</v>
          </cell>
          <cell r="J534">
            <v>1.7147852519581233</v>
          </cell>
        </row>
        <row r="535">
          <cell r="A535" t="str">
            <v>T_C-HY-GSL-S1</v>
          </cell>
          <cell r="B535" t="str">
            <v>VAR_fin</v>
          </cell>
          <cell r="C535" t="str">
            <v>TGSL</v>
          </cell>
          <cell r="H535">
            <v>1.1730034771410658</v>
          </cell>
          <cell r="I535">
            <v>1.7942947129809594</v>
          </cell>
          <cell r="J535">
            <v>1.6842841427401001</v>
          </cell>
        </row>
        <row r="536">
          <cell r="A536" t="str">
            <v>T_C-HY-GSL-S1</v>
          </cell>
          <cell r="B536" t="str">
            <v>VAR_ncap</v>
          </cell>
          <cell r="C536" t="str">
            <v>-</v>
          </cell>
          <cell r="H536">
            <v>0.16814984502219801</v>
          </cell>
          <cell r="I536">
            <v>0.118887050781614</v>
          </cell>
          <cell r="J536">
            <v>0.185722051978884</v>
          </cell>
        </row>
        <row r="537">
          <cell r="A537" t="str">
            <v>T_C-HY-GSL-S1</v>
          </cell>
          <cell r="B537" t="str">
            <v>VAR_cap</v>
          </cell>
          <cell r="C537" t="str">
            <v>-</v>
          </cell>
          <cell r="H537">
            <v>0.16494481007419751</v>
          </cell>
          <cell r="I537">
            <v>0.25732106348039085</v>
          </cell>
          <cell r="J537">
            <v>0.26060522405778402</v>
          </cell>
        </row>
        <row r="538">
          <cell r="A538" t="str">
            <v>TFRLFDSLEXT</v>
          </cell>
          <cell r="B538" t="str">
            <v>VAR_fout</v>
          </cell>
          <cell r="C538" t="str">
            <v>CO2_T</v>
          </cell>
        </row>
        <row r="539">
          <cell r="A539" t="str">
            <v>TFRLFDSLEXT</v>
          </cell>
          <cell r="B539" t="str">
            <v>VAR_fout</v>
          </cell>
          <cell r="C539" t="str">
            <v>TFRLF</v>
          </cell>
        </row>
        <row r="540">
          <cell r="A540" t="str">
            <v>TFRLFDSLEXT</v>
          </cell>
          <cell r="B540" t="str">
            <v>VAR_fin</v>
          </cell>
          <cell r="C540" t="str">
            <v>TDSL</v>
          </cell>
        </row>
        <row r="541">
          <cell r="A541" t="str">
            <v>TFRLFDSLEXT</v>
          </cell>
          <cell r="B541" t="str">
            <v>VAR_ncap</v>
          </cell>
          <cell r="C541" t="str">
            <v>-</v>
          </cell>
        </row>
        <row r="542">
          <cell r="A542" t="str">
            <v>TFRLFDSLEXT</v>
          </cell>
          <cell r="B542" t="str">
            <v>VAR_cap</v>
          </cell>
          <cell r="C542" t="str">
            <v>-</v>
          </cell>
          <cell r="H542">
            <v>5.6798300477006822E-8</v>
          </cell>
          <cell r="I542">
            <v>5.6878424930004818E-8</v>
          </cell>
          <cell r="J542">
            <v>2.3207142943500593E-8</v>
          </cell>
        </row>
        <row r="543">
          <cell r="A543" t="str">
            <v>T_C-HY-GSL-S2</v>
          </cell>
          <cell r="B543" t="str">
            <v>VAR_fout</v>
          </cell>
          <cell r="C543" t="str">
            <v>CO2_T</v>
          </cell>
          <cell r="H543">
            <v>30.921697432859133</v>
          </cell>
          <cell r="I543">
            <v>4.7397951831073026</v>
          </cell>
          <cell r="J543">
            <v>0.68895744138082793</v>
          </cell>
        </row>
        <row r="544">
          <cell r="A544" t="str">
            <v>T_C-HY-GSL-S2</v>
          </cell>
          <cell r="B544" t="str">
            <v>VAR_fout</v>
          </cell>
          <cell r="C544" t="str">
            <v>TPCAR</v>
          </cell>
          <cell r="H544">
            <v>0.77938266959889857</v>
          </cell>
          <cell r="I544">
            <v>0.10629516730170467</v>
          </cell>
          <cell r="J544">
            <v>7.8736278650609216E-3</v>
          </cell>
        </row>
        <row r="545">
          <cell r="A545" t="str">
            <v>T_C-HY-GSL-S2</v>
          </cell>
          <cell r="B545" t="str">
            <v>VAR_fin</v>
          </cell>
          <cell r="C545" t="str">
            <v>TGSL</v>
          </cell>
          <cell r="H545">
            <v>0.41899319014714465</v>
          </cell>
          <cell r="I545">
            <v>6.4224866979773795E-2</v>
          </cell>
          <cell r="J545">
            <v>9.3354666853770699E-3</v>
          </cell>
        </row>
        <row r="546">
          <cell r="A546" t="str">
            <v>T_C-HY-GSL-S2</v>
          </cell>
          <cell r="B546" t="str">
            <v>VAR_ncap</v>
          </cell>
          <cell r="C546" t="str">
            <v>-</v>
          </cell>
          <cell r="H546">
            <v>1.0117514139893499E-3</v>
          </cell>
          <cell r="I546">
            <v>1.07530498115301E-4</v>
          </cell>
          <cell r="J546">
            <v>6.1195707965690802E-4</v>
          </cell>
        </row>
        <row r="547">
          <cell r="A547" t="str">
            <v>T_C-HY-GSL-S2</v>
          </cell>
          <cell r="B547" t="str">
            <v>VAR_cap</v>
          </cell>
          <cell r="C547" t="str">
            <v>-</v>
          </cell>
          <cell r="H547">
            <v>5.9416277395311946E-2</v>
          </cell>
          <cell r="I547">
            <v>8.3324826768952972E-3</v>
          </cell>
          <cell r="J547">
            <v>8.29233562755166E-4</v>
          </cell>
        </row>
        <row r="548">
          <cell r="A548" t="str">
            <v>TPSHPNGAEXT</v>
          </cell>
          <cell r="B548" t="str">
            <v>VAR_ncap</v>
          </cell>
          <cell r="C548" t="str">
            <v>-</v>
          </cell>
          <cell r="H548">
            <v>1.0493757848632201E-6</v>
          </cell>
          <cell r="I548">
            <v>2.7055736717337001E-5</v>
          </cell>
          <cell r="J548">
            <v>4.40164112209296E-7</v>
          </cell>
        </row>
        <row r="549">
          <cell r="A549" t="str">
            <v>TPSHPNGAEXT</v>
          </cell>
          <cell r="B549" t="str">
            <v>VAR_cap</v>
          </cell>
          <cell r="C549" t="str">
            <v>-</v>
          </cell>
          <cell r="H549">
            <v>5.1068686063601991E-7</v>
          </cell>
          <cell r="I549">
            <v>2.7473693360504488E-5</v>
          </cell>
          <cell r="J549">
            <v>2.6775188361294898E-5</v>
          </cell>
        </row>
        <row r="550">
          <cell r="A550" t="str">
            <v>T_C-HY-DSL-S1</v>
          </cell>
          <cell r="B550" t="str">
            <v>VAR_fout</v>
          </cell>
          <cell r="C550" t="str">
            <v>CO2_T</v>
          </cell>
          <cell r="H550">
            <v>3.3776835384306216</v>
          </cell>
          <cell r="I550">
            <v>16.787147942561973</v>
          </cell>
          <cell r="J550">
            <v>8.7568341534722602</v>
          </cell>
        </row>
        <row r="551">
          <cell r="A551" t="str">
            <v>T_C-HY-DSL-S1</v>
          </cell>
          <cell r="B551" t="str">
            <v>VAR_fout</v>
          </cell>
          <cell r="C551" t="str">
            <v>TPCAR</v>
          </cell>
          <cell r="H551">
            <v>6.8385694441755546E-2</v>
          </cell>
          <cell r="I551">
            <v>0.22126783685427712</v>
          </cell>
          <cell r="J551">
            <v>0.11566721115467657</v>
          </cell>
        </row>
        <row r="552">
          <cell r="A552" t="str">
            <v>T_C-HY-DSL-S1</v>
          </cell>
          <cell r="B552" t="str">
            <v>VAR_fin</v>
          </cell>
          <cell r="C552" t="str">
            <v>TDSL</v>
          </cell>
          <cell r="H552">
            <v>4.6080266554305922E-2</v>
          </cell>
          <cell r="I552">
            <v>0.22901975365023167</v>
          </cell>
          <cell r="J552">
            <v>0.11946567740071293</v>
          </cell>
        </row>
        <row r="553">
          <cell r="A553" t="str">
            <v>T_C-HY-DSL-S1</v>
          </cell>
          <cell r="B553" t="str">
            <v>VAR_ncap</v>
          </cell>
          <cell r="C553" t="str">
            <v>-</v>
          </cell>
          <cell r="H553">
            <v>1.8093183133996199E-3</v>
          </cell>
          <cell r="I553">
            <v>3.3431565802318902E-2</v>
          </cell>
          <cell r="J553">
            <v>2.5798925724748701E-4</v>
          </cell>
        </row>
        <row r="554">
          <cell r="A554" t="str">
            <v>T_C-HY-DSL-S1</v>
          </cell>
          <cell r="B554" t="str">
            <v>VAR_cap</v>
          </cell>
          <cell r="C554" t="str">
            <v>-</v>
          </cell>
          <cell r="H554">
            <v>1.0391564922665074E-2</v>
          </cell>
          <cell r="I554">
            <v>3.3626323018569083E-2</v>
          </cell>
          <cell r="J554">
            <v>1.7578197495626301E-2</v>
          </cell>
        </row>
        <row r="555">
          <cell r="A555" t="str">
            <v>T_C-HY-GSL-S3</v>
          </cell>
          <cell r="B555" t="str">
            <v>VAR_fout</v>
          </cell>
          <cell r="C555" t="str">
            <v>CO2_T</v>
          </cell>
          <cell r="H555">
            <v>22.239123167845371</v>
          </cell>
          <cell r="I555">
            <v>1.5869159203293303E-2</v>
          </cell>
          <cell r="J555">
            <v>8.7711725516521899E-3</v>
          </cell>
        </row>
        <row r="556">
          <cell r="A556" t="str">
            <v>T_C-HY-GSL-S3</v>
          </cell>
          <cell r="B556" t="str">
            <v>VAR_fout</v>
          </cell>
          <cell r="C556" t="str">
            <v>TPCAR</v>
          </cell>
          <cell r="H556">
            <v>0.76784526366869044</v>
          </cell>
          <cell r="I556">
            <v>1.5526729444697717E-4</v>
          </cell>
          <cell r="J556">
            <v>8.9128440665995045E-5</v>
          </cell>
        </row>
        <row r="557">
          <cell r="A557" t="str">
            <v>T_C-HY-GSL-S3</v>
          </cell>
          <cell r="B557" t="str">
            <v>VAR_fin</v>
          </cell>
          <cell r="C557" t="str">
            <v>TGSL</v>
          </cell>
          <cell r="H557">
            <v>0.30134313235562837</v>
          </cell>
          <cell r="I557">
            <v>2.1502925749719942E-4</v>
          </cell>
          <cell r="J557">
            <v>1.1885057658065308E-4</v>
          </cell>
        </row>
        <row r="558">
          <cell r="A558" t="str">
            <v>T_C-HY-GSL-S3</v>
          </cell>
          <cell r="B558" t="str">
            <v>VAR_ncap</v>
          </cell>
          <cell r="C558" t="str">
            <v>-</v>
          </cell>
          <cell r="H558">
            <v>5.8053107874226097E-6</v>
          </cell>
          <cell r="I558">
            <v>4.7933766220773704E-6</v>
          </cell>
          <cell r="J558">
            <v>3.7042359367568099E-6</v>
          </cell>
        </row>
        <row r="559">
          <cell r="A559" t="str">
            <v>T_C-HY-GSL-S3</v>
          </cell>
          <cell r="B559" t="str">
            <v>VAR_cap</v>
          </cell>
          <cell r="C559" t="str">
            <v>-</v>
          </cell>
          <cell r="H559">
            <v>5.2797497209650164E-2</v>
          </cell>
          <cell r="I559">
            <v>1.14895641931755E-5</v>
          </cell>
          <cell r="J559">
            <v>7.0346717445082204E-6</v>
          </cell>
        </row>
        <row r="560">
          <cell r="A560" t="str">
            <v>T_C-HY-DSL-S2</v>
          </cell>
          <cell r="B560" t="str">
            <v>VAR_fout</v>
          </cell>
          <cell r="C560" t="str">
            <v>CO2_T</v>
          </cell>
          <cell r="H560">
            <v>142.9693215104443</v>
          </cell>
          <cell r="I560">
            <v>92.971940429181672</v>
          </cell>
          <cell r="J560">
            <v>101.49573249933908</v>
          </cell>
        </row>
        <row r="561">
          <cell r="A561" t="str">
            <v>T_C-HY-DSL-S2</v>
          </cell>
          <cell r="B561" t="str">
            <v>VAR_fout</v>
          </cell>
          <cell r="C561" t="str">
            <v>TPCAR</v>
          </cell>
          <cell r="H561">
            <v>2.2835069119027329</v>
          </cell>
          <cell r="I561">
            <v>1.0345747338925166</v>
          </cell>
          <cell r="J561">
            <v>1.1882839714683751</v>
          </cell>
        </row>
        <row r="562">
          <cell r="A562" t="str">
            <v>T_C-HY-DSL-S2</v>
          </cell>
          <cell r="B562" t="str">
            <v>VAR_fin</v>
          </cell>
          <cell r="C562" t="str">
            <v>TDSL</v>
          </cell>
          <cell r="H562">
            <v>1.9504682334303496</v>
          </cell>
          <cell r="I562">
            <v>1.268375722089792</v>
          </cell>
          <cell r="J562">
            <v>1.384662107767247</v>
          </cell>
        </row>
        <row r="563">
          <cell r="A563" t="str">
            <v>T_C-HY-DSL-S2</v>
          </cell>
          <cell r="B563" t="str">
            <v>VAR_ncap</v>
          </cell>
          <cell r="C563" t="str">
            <v>-</v>
          </cell>
          <cell r="H563">
            <v>0.115387999755261</v>
          </cell>
          <cell r="I563">
            <v>2.0033046765399799E-4</v>
          </cell>
          <cell r="J563">
            <v>0.11298396997700701</v>
          </cell>
        </row>
        <row r="564">
          <cell r="A564" t="str">
            <v>T_C-HY-DSL-S2</v>
          </cell>
          <cell r="B564" t="str">
            <v>VAR_cap</v>
          </cell>
          <cell r="C564" t="str">
            <v>-</v>
          </cell>
          <cell r="H564">
            <v>0.20530772095659133</v>
          </cell>
          <cell r="I564">
            <v>0.10613161129466529</v>
          </cell>
          <cell r="J564">
            <v>0.12533449320263701</v>
          </cell>
        </row>
        <row r="565">
          <cell r="A565" t="str">
            <v>D-T-ELC-Bus_c_S1</v>
          </cell>
          <cell r="B565" t="str">
            <v>VAR_fout</v>
          </cell>
          <cell r="C565" t="str">
            <v>T-ELC-Bus_c_BatSTGin_S1</v>
          </cell>
          <cell r="H565">
            <v>0.13174446506179763</v>
          </cell>
          <cell r="I565">
            <v>8.5590611536398076E-2</v>
          </cell>
          <cell r="J565">
            <v>4.4884258605542245E-2</v>
          </cell>
        </row>
        <row r="566">
          <cell r="A566" t="str">
            <v>D-T-ELC-Bus_c_S1</v>
          </cell>
          <cell r="B566" t="str">
            <v>VAR_fin</v>
          </cell>
          <cell r="C566" t="str">
            <v>TELC</v>
          </cell>
          <cell r="H566">
            <v>0.13174446506179763</v>
          </cell>
          <cell r="I566">
            <v>8.5590611536398076E-2</v>
          </cell>
          <cell r="J566">
            <v>4.4884258605542245E-2</v>
          </cell>
        </row>
        <row r="567">
          <cell r="A567" t="str">
            <v>D-T-ELC-Bus_c_S1</v>
          </cell>
          <cell r="B567" t="str">
            <v>VAR_ncap</v>
          </cell>
          <cell r="C567" t="str">
            <v>-</v>
          </cell>
          <cell r="H567">
            <v>2.3582659487920802E-5</v>
          </cell>
          <cell r="I567">
            <v>7.6387785508413297E-3</v>
          </cell>
          <cell r="J567">
            <v>9.7783295285209506E-4</v>
          </cell>
        </row>
        <row r="568">
          <cell r="A568" t="str">
            <v>D-T-ELC-Bus_c_S1</v>
          </cell>
          <cell r="B568" t="str">
            <v>VAR_cap</v>
          </cell>
          <cell r="C568" t="str">
            <v>-</v>
          </cell>
          <cell r="H568">
            <v>1.8337103523867599E-2</v>
          </cell>
          <cell r="I568">
            <v>1.0905129420595299E-2</v>
          </cell>
          <cell r="J568">
            <v>4.8128592938132403E-3</v>
          </cell>
        </row>
        <row r="569">
          <cell r="A569" t="str">
            <v>T_C-HY-GSL-S4</v>
          </cell>
          <cell r="B569" t="str">
            <v>VAR_fout</v>
          </cell>
          <cell r="C569" t="str">
            <v>CO2_T</v>
          </cell>
          <cell r="H569">
            <v>1.1585853748043198</v>
          </cell>
          <cell r="I569">
            <v>2.1368143460350278E-2</v>
          </cell>
          <cell r="J569">
            <v>2.5807664550717521E-2</v>
          </cell>
        </row>
        <row r="570">
          <cell r="A570" t="str">
            <v>T_C-HY-GSL-S4</v>
          </cell>
          <cell r="B570" t="str">
            <v>VAR_fout</v>
          </cell>
          <cell r="C570" t="str">
            <v>TPCAR</v>
          </cell>
          <cell r="H570">
            <v>2.5099905063391378E-2</v>
          </cell>
          <cell r="I570">
            <v>2.0337153565410049E-4</v>
          </cell>
          <cell r="J570">
            <v>2.6607191270915955E-4</v>
          </cell>
        </row>
        <row r="571">
          <cell r="A571" t="str">
            <v>T_C-HY-GSL-S4</v>
          </cell>
          <cell r="B571" t="str">
            <v>VAR_fin</v>
          </cell>
          <cell r="C571" t="str">
            <v>TGSL</v>
          </cell>
          <cell r="H571">
            <v>1.5698988818486713E-2</v>
          </cell>
          <cell r="I571">
            <v>2.8954123930013969E-4</v>
          </cell>
          <cell r="J571">
            <v>3.4969735163573859E-4</v>
          </cell>
        </row>
        <row r="572">
          <cell r="A572" t="str">
            <v>T_C-HY-GSL-S4</v>
          </cell>
          <cell r="B572" t="str">
            <v>VAR_ncap</v>
          </cell>
          <cell r="C572" t="str">
            <v>-</v>
          </cell>
          <cell r="H572">
            <v>8.2050332257349806E-6</v>
          </cell>
          <cell r="I572">
            <v>9.0702125275360001E-6</v>
          </cell>
          <cell r="J572">
            <v>2.47554258172704E-5</v>
          </cell>
        </row>
        <row r="573">
          <cell r="A573" t="str">
            <v>T_C-HY-GSL-S4</v>
          </cell>
          <cell r="B573" t="str">
            <v>VAR_cap</v>
          </cell>
          <cell r="C573" t="str">
            <v>-</v>
          </cell>
          <cell r="H573">
            <v>1.9817788601375055E-3</v>
          </cell>
          <cell r="I573">
            <v>1.7713871754346401E-5</v>
          </cell>
          <cell r="J573">
            <v>2.7763032562143799E-5</v>
          </cell>
        </row>
        <row r="574">
          <cell r="A574" t="str">
            <v>T_C-HY-DSL-S3</v>
          </cell>
          <cell r="B574" t="str">
            <v>VAR_fout</v>
          </cell>
          <cell r="C574" t="str">
            <v>CO2_T</v>
          </cell>
          <cell r="H574">
            <v>0.45249030521349148</v>
          </cell>
          <cell r="I574">
            <v>1.5816932234555933E-2</v>
          </cell>
          <cell r="J574">
            <v>9.0110615351333308E-3</v>
          </cell>
        </row>
        <row r="575">
          <cell r="A575" t="str">
            <v>T_C-HY-DSL-S3</v>
          </cell>
          <cell r="B575" t="str">
            <v>VAR_fout</v>
          </cell>
          <cell r="C575" t="str">
            <v>TPCAR</v>
          </cell>
          <cell r="H575">
            <v>9.0230977559379102E-3</v>
          </cell>
          <cell r="I575">
            <v>1.5373674037109158E-4</v>
          </cell>
          <cell r="J575">
            <v>9.2132476792325651E-5</v>
          </cell>
        </row>
        <row r="576">
          <cell r="A576" t="str">
            <v>T_C-HY-DSL-S3</v>
          </cell>
          <cell r="B576" t="str">
            <v>VAR_fin</v>
          </cell>
          <cell r="C576" t="str">
            <v>TDSL</v>
          </cell>
          <cell r="H576">
            <v>6.1731283112345364E-3</v>
          </cell>
          <cell r="I576">
            <v>2.1578352298166328E-4</v>
          </cell>
          <cell r="J576">
            <v>1.2293399092951329E-4</v>
          </cell>
        </row>
        <row r="577">
          <cell r="A577" t="str">
            <v>T_C-HY-DSL-S3</v>
          </cell>
          <cell r="B577" t="str">
            <v>VAR_ncap</v>
          </cell>
          <cell r="C577" t="str">
            <v>-</v>
          </cell>
          <cell r="H577">
            <v>5.8514879733502203E-6</v>
          </cell>
          <cell r="I577">
            <v>5.0249342820728698E-6</v>
          </cell>
          <cell r="J577">
            <v>3.79645116505937E-6</v>
          </cell>
        </row>
        <row r="578">
          <cell r="A578" t="str">
            <v>T_C-HY-DSL-S3</v>
          </cell>
          <cell r="B578" t="str">
            <v>VAR_cap</v>
          </cell>
          <cell r="C578" t="str">
            <v>-</v>
          </cell>
          <cell r="H578">
            <v>6.2267811936109023E-4</v>
          </cell>
          <cell r="I578">
            <v>1.13450035935055E-5</v>
          </cell>
          <cell r="J578">
            <v>7.242000643827E-6</v>
          </cell>
        </row>
        <row r="579">
          <cell r="A579" t="str">
            <v>D-T-ELC-Bus_c_S2</v>
          </cell>
          <cell r="B579" t="str">
            <v>VAR_fout</v>
          </cell>
          <cell r="C579" t="str">
            <v>T-ELC-Bus_c_BatSTGin_S2</v>
          </cell>
          <cell r="H579">
            <v>7.3508022892223551E-2</v>
          </cell>
          <cell r="I579">
            <v>0.12512172936618099</v>
          </cell>
          <cell r="J579">
            <v>0.13809034838260997</v>
          </cell>
        </row>
        <row r="580">
          <cell r="A580" t="str">
            <v>D-T-ELC-Bus_c_S2</v>
          </cell>
          <cell r="B580" t="str">
            <v>VAR_fin</v>
          </cell>
          <cell r="C580" t="str">
            <v>TELC</v>
          </cell>
          <cell r="H580">
            <v>7.3508022892223551E-2</v>
          </cell>
          <cell r="I580">
            <v>0.12512172936618099</v>
          </cell>
          <cell r="J580">
            <v>0.13809034838260997</v>
          </cell>
        </row>
        <row r="581">
          <cell r="A581" t="str">
            <v>D-T-ELC-Bus_c_S2</v>
          </cell>
          <cell r="B581" t="str">
            <v>VAR_ncap</v>
          </cell>
          <cell r="C581" t="str">
            <v>-</v>
          </cell>
          <cell r="H581">
            <v>1.5531281573785401E-3</v>
          </cell>
          <cell r="I581">
            <v>1.30112617722836E-2</v>
          </cell>
          <cell r="J581">
            <v>1.0805226004801501E-2</v>
          </cell>
        </row>
        <row r="582">
          <cell r="A582" t="str">
            <v>D-T-ELC-Bus_c_S2</v>
          </cell>
          <cell r="B582" t="str">
            <v>VAR_cap</v>
          </cell>
          <cell r="C582" t="str">
            <v>-</v>
          </cell>
          <cell r="H582">
            <v>9.3594607997909696E-3</v>
          </cell>
          <cell r="I582">
            <v>1.5943624617122999E-2</v>
          </cell>
          <cell r="J582">
            <v>1.7602998955245901E-2</v>
          </cell>
        </row>
        <row r="583">
          <cell r="A583" t="str">
            <v>T_C-HY-DSL-S4</v>
          </cell>
          <cell r="B583" t="str">
            <v>VAR_fout</v>
          </cell>
          <cell r="C583" t="str">
            <v>CO2_T</v>
          </cell>
          <cell r="H583">
            <v>0.9097091469227564</v>
          </cell>
          <cell r="I583">
            <v>2.1806270779620048E-2</v>
          </cell>
          <cell r="J583">
            <v>2.758183686893417E-2</v>
          </cell>
        </row>
        <row r="584">
          <cell r="A584" t="str">
            <v>T_C-HY-DSL-S4</v>
          </cell>
          <cell r="B584" t="str">
            <v>VAR_fout</v>
          </cell>
          <cell r="C584" t="str">
            <v>TPCAR</v>
          </cell>
          <cell r="H584">
            <v>1.9565634640249328E-2</v>
          </cell>
          <cell r="I584">
            <v>2.0914611524856731E-4</v>
          </cell>
          <cell r="J584">
            <v>2.8637268557439783E-4</v>
          </cell>
        </row>
        <row r="585">
          <cell r="A585" t="str">
            <v>T_C-HY-DSL-S4</v>
          </cell>
          <cell r="B585" t="str">
            <v>VAR_fin</v>
          </cell>
          <cell r="C585" t="str">
            <v>TDSL</v>
          </cell>
          <cell r="H585">
            <v>1.2410765988032146E-2</v>
          </cell>
          <cell r="I585">
            <v>2.9749346220491249E-4</v>
          </cell>
          <cell r="J585">
            <v>3.7628699684766939E-4</v>
          </cell>
        </row>
        <row r="586">
          <cell r="A586" t="str">
            <v>T_C-HY-DSL-S4</v>
          </cell>
          <cell r="B586" t="str">
            <v>VAR_ncap</v>
          </cell>
          <cell r="C586" t="str">
            <v>-</v>
          </cell>
          <cell r="H586">
            <v>8.2828266843010596E-6</v>
          </cell>
          <cell r="I586">
            <v>9.6745585876784305E-6</v>
          </cell>
          <cell r="J586">
            <v>2.6883890490621901E-5</v>
          </cell>
        </row>
        <row r="587">
          <cell r="A587" t="str">
            <v>T_C-HY-DSL-S4</v>
          </cell>
          <cell r="B587" t="str">
            <v>VAR_cap</v>
          </cell>
          <cell r="C587" t="str">
            <v>-</v>
          </cell>
          <cell r="H587">
            <v>1.5467313373804126E-3</v>
          </cell>
          <cell r="I587">
            <v>1.81011615274275E-5</v>
          </cell>
          <cell r="J587">
            <v>2.99046459133856E-5</v>
          </cell>
        </row>
        <row r="588">
          <cell r="A588" t="str">
            <v>D-T-ELC-Bus_c_S3</v>
          </cell>
          <cell r="B588" t="str">
            <v>VAR_fout</v>
          </cell>
          <cell r="C588" t="str">
            <v>T-ELC-Bus_c_BatSTGin_S3</v>
          </cell>
          <cell r="H588">
            <v>4.4702290096195873E-4</v>
          </cell>
          <cell r="I588">
            <v>7.0428294534066553E-4</v>
          </cell>
          <cell r="J588">
            <v>3.3775131335690128E-2</v>
          </cell>
        </row>
        <row r="589">
          <cell r="A589" t="str">
            <v>D-T-ELC-Bus_c_S3</v>
          </cell>
          <cell r="B589" t="str">
            <v>VAR_fin</v>
          </cell>
          <cell r="C589" t="str">
            <v>TELC</v>
          </cell>
          <cell r="H589">
            <v>4.4702290096195873E-4</v>
          </cell>
          <cell r="I589">
            <v>7.0428294534066553E-4</v>
          </cell>
          <cell r="J589">
            <v>3.3775131335690128E-2</v>
          </cell>
        </row>
        <row r="590">
          <cell r="A590" t="str">
            <v>D-T-ELC-Bus_c_S3</v>
          </cell>
          <cell r="B590" t="str">
            <v>VAR_ncap</v>
          </cell>
          <cell r="C590" t="str">
            <v>-</v>
          </cell>
          <cell r="H590">
            <v>3.9787672153904398E-5</v>
          </cell>
          <cell r="I590">
            <v>4.5875194216969998E-5</v>
          </cell>
          <cell r="J590">
            <v>4.2893935815335798E-3</v>
          </cell>
        </row>
        <row r="591">
          <cell r="A591" t="str">
            <v>D-T-ELC-Bus_c_S3</v>
          </cell>
          <cell r="B591" t="str">
            <v>VAR_cap</v>
          </cell>
          <cell r="C591" t="str">
            <v>-</v>
          </cell>
          <cell r="H591">
            <v>5.7148106761336197E-5</v>
          </cell>
          <cell r="I591">
            <v>8.5662866370874395E-5</v>
          </cell>
          <cell r="J591">
            <v>4.3051068102514098E-3</v>
          </cell>
        </row>
        <row r="592">
          <cell r="A592" t="str">
            <v>D-T-ELC-Bus_c_S4</v>
          </cell>
          <cell r="B592" t="str">
            <v>VAR_fout</v>
          </cell>
          <cell r="C592" t="str">
            <v>T-ELC-Bus_c_BatSTGin_S4</v>
          </cell>
          <cell r="H592">
            <v>5.7839490473198371E-5</v>
          </cell>
          <cell r="I592">
            <v>6.0020209204964107E-5</v>
          </cell>
          <cell r="J592">
            <v>3.8303988547082174E-5</v>
          </cell>
        </row>
        <row r="593">
          <cell r="A593" t="str">
            <v>D-T-ELC-Bus_c_S4</v>
          </cell>
          <cell r="B593" t="str">
            <v>VAR_fin</v>
          </cell>
          <cell r="C593" t="str">
            <v>TELC</v>
          </cell>
          <cell r="H593">
            <v>5.7839490473198371E-5</v>
          </cell>
          <cell r="I593">
            <v>6.0020209204964107E-5</v>
          </cell>
          <cell r="J593">
            <v>3.8303988547082174E-5</v>
          </cell>
        </row>
        <row r="594">
          <cell r="A594" t="str">
            <v>D-T-ELC-Bus_c_S4</v>
          </cell>
          <cell r="B594" t="str">
            <v>VAR_ncap</v>
          </cell>
          <cell r="C594" t="str">
            <v>-</v>
          </cell>
          <cell r="H594">
            <v>6.8935439119360899E-6</v>
          </cell>
          <cell r="I594">
            <v>5.3794839030299999E-6</v>
          </cell>
          <cell r="J594">
            <v>6.9423569615191701E-6</v>
          </cell>
        </row>
        <row r="595">
          <cell r="A595" t="str">
            <v>D-T-ELC-Bus_c_S4</v>
          </cell>
          <cell r="B595" t="str">
            <v>VAR_cap</v>
          </cell>
          <cell r="C595" t="str">
            <v>-</v>
          </cell>
          <cell r="H595">
            <v>9.8898472420000303E-6</v>
          </cell>
          <cell r="I595">
            <v>1.0087680019893199E-5</v>
          </cell>
          <cell r="J595">
            <v>7.8863952557858601E-6</v>
          </cell>
        </row>
        <row r="596">
          <cell r="A596" t="str">
            <v>D-TH2O</v>
          </cell>
          <cell r="B596" t="str">
            <v>VAR_fout</v>
          </cell>
          <cell r="C596" t="str">
            <v>TH2O</v>
          </cell>
          <cell r="H596">
            <v>1.3935135157091711E-4</v>
          </cell>
          <cell r="I596">
            <v>2.0022399035463657E-4</v>
          </cell>
          <cell r="J596">
            <v>2.4786036122694438E-4</v>
          </cell>
        </row>
        <row r="597">
          <cell r="A597" t="str">
            <v>D-TH2O</v>
          </cell>
          <cell r="B597" t="str">
            <v>VAR_fin</v>
          </cell>
          <cell r="C597" t="str">
            <v>H2</v>
          </cell>
          <cell r="H597">
            <v>1.3935135157091711E-4</v>
          </cell>
          <cell r="I597">
            <v>2.0022399035463657E-4</v>
          </cell>
          <cell r="J597">
            <v>2.4788602414680522E-4</v>
          </cell>
        </row>
        <row r="598">
          <cell r="A598" t="str">
            <v>D-TH2O</v>
          </cell>
          <cell r="B598" t="str">
            <v>VAR_ncap</v>
          </cell>
          <cell r="C598" t="str">
            <v>-</v>
          </cell>
          <cell r="H598">
            <v>3.5354232413165097E-8</v>
          </cell>
          <cell r="I598">
            <v>5.4903048422312298E-8</v>
          </cell>
          <cell r="J598">
            <v>8.9140393972125194E-8</v>
          </cell>
        </row>
        <row r="599">
          <cell r="A599" t="str">
            <v>D-TH2O</v>
          </cell>
          <cell r="B599" t="str">
            <v>VAR_cap</v>
          </cell>
          <cell r="C599" t="str">
            <v>-</v>
          </cell>
          <cell r="H599">
            <v>5.7683066193000003E-4</v>
          </cell>
          <cell r="I599">
            <v>5.7688556497842197E-4</v>
          </cell>
          <cell r="J599">
            <v>5.7697470537239402E-4</v>
          </cell>
        </row>
        <row r="600">
          <cell r="A600" t="str">
            <v>TFHGV-HYBDSL</v>
          </cell>
          <cell r="B600" t="str">
            <v>VAR_fout</v>
          </cell>
          <cell r="C600" t="str">
            <v>CO2_T</v>
          </cell>
          <cell r="H600">
            <v>1081.0812377189879</v>
          </cell>
          <cell r="I600">
            <v>1125.8897887450801</v>
          </cell>
          <cell r="J600">
            <v>1216.4895727285439</v>
          </cell>
        </row>
        <row r="601">
          <cell r="A601" t="str">
            <v>TFHGV-HYBDSL</v>
          </cell>
          <cell r="B601" t="str">
            <v>VAR_fout</v>
          </cell>
          <cell r="C601" t="str">
            <v>TFHGV</v>
          </cell>
          <cell r="H601">
            <v>2.4109269684964509</v>
          </cell>
          <cell r="I601">
            <v>2.5108548372993464</v>
          </cell>
          <cell r="J601">
            <v>2.7129020608794789</v>
          </cell>
        </row>
        <row r="602">
          <cell r="A602" t="str">
            <v>TFHGV-HYBDSL</v>
          </cell>
          <cell r="B602" t="str">
            <v>VAR_fin</v>
          </cell>
          <cell r="C602" t="str">
            <v>TDSL</v>
          </cell>
          <cell r="H602">
            <v>14.748720842005293</v>
          </cell>
          <cell r="I602">
            <v>15.360024403070657</v>
          </cell>
          <cell r="J602">
            <v>16.596037827128885</v>
          </cell>
        </row>
        <row r="603">
          <cell r="A603" t="str">
            <v>TFHGV-HYBDSL</v>
          </cell>
          <cell r="B603" t="str">
            <v>VAR_ncap</v>
          </cell>
          <cell r="C603" t="str">
            <v>-</v>
          </cell>
          <cell r="H603">
            <v>4.0267177398598301E-2</v>
          </cell>
          <cell r="I603">
            <v>2.167440206777E-2</v>
          </cell>
          <cell r="J603">
            <v>4.9336203243742001E-2</v>
          </cell>
        </row>
        <row r="604">
          <cell r="A604" t="str">
            <v>TFHGV-HYBDSL</v>
          </cell>
          <cell r="B604" t="str">
            <v>VAR_cap</v>
          </cell>
          <cell r="C604" t="str">
            <v>-</v>
          </cell>
          <cell r="H604">
            <v>4.72095645411197E-2</v>
          </cell>
          <cell r="I604">
            <v>4.9176332959492898E-2</v>
          </cell>
          <cell r="J604">
            <v>5.3139814505741199E-2</v>
          </cell>
        </row>
        <row r="605">
          <cell r="A605" t="str">
            <v>D-TKER</v>
          </cell>
          <cell r="B605" t="str">
            <v>VAR_fout</v>
          </cell>
          <cell r="C605" t="str">
            <v>CO2</v>
          </cell>
          <cell r="H605">
            <v>117.007942778089</v>
          </cell>
          <cell r="I605">
            <v>50.7489271170272</v>
          </cell>
          <cell r="J605">
            <v>3.0017999018065099E-4</v>
          </cell>
        </row>
        <row r="606">
          <cell r="A606" t="str">
            <v>D-TKER</v>
          </cell>
          <cell r="B606" t="str">
            <v>VAR_fout</v>
          </cell>
          <cell r="C606" t="str">
            <v>TKER</v>
          </cell>
          <cell r="H606">
            <v>1.5836316180879499</v>
          </cell>
          <cell r="I606">
            <v>0.686855983093272</v>
          </cell>
          <cell r="J606">
            <v>4.0627543077907296E-6</v>
          </cell>
        </row>
        <row r="607">
          <cell r="A607" t="str">
            <v>D-TKER</v>
          </cell>
          <cell r="B607" t="str">
            <v>VAR_fin</v>
          </cell>
          <cell r="C607" t="str">
            <v>KER</v>
          </cell>
          <cell r="H607">
            <v>1.6072519612374747</v>
          </cell>
          <cell r="I607">
            <v>0.69710064721191412</v>
          </cell>
          <cell r="J607">
            <v>4.1233515134705098E-6</v>
          </cell>
        </row>
        <row r="608">
          <cell r="A608" t="str">
            <v>T_B_u-BEVELC-S1</v>
          </cell>
          <cell r="B608" t="str">
            <v>VAR_fout</v>
          </cell>
          <cell r="C608" t="str">
            <v>TPBSu</v>
          </cell>
          <cell r="H608">
            <v>0.11462545886251772</v>
          </cell>
          <cell r="I608">
            <v>0.11948829556642063</v>
          </cell>
          <cell r="J608">
            <v>5.4072942426446252E-2</v>
          </cell>
        </row>
        <row r="609">
          <cell r="A609" t="str">
            <v>T_B_u-BEVELC-S1</v>
          </cell>
          <cell r="B609" t="str">
            <v>VAR_fin</v>
          </cell>
          <cell r="C609" t="str">
            <v>T-ELC-Bus_u_BatSTGout_S1</v>
          </cell>
          <cell r="H609">
            <v>0.24332655714820411</v>
          </cell>
          <cell r="I609">
            <v>0.25274540723033179</v>
          </cell>
          <cell r="J609">
            <v>0.10505369186978794</v>
          </cell>
        </row>
        <row r="610">
          <cell r="A610" t="str">
            <v>T_B_u-BEVELC-S1</v>
          </cell>
          <cell r="B610" t="str">
            <v>VAR_ncap</v>
          </cell>
          <cell r="C610" t="str">
            <v>-</v>
          </cell>
          <cell r="H610">
            <v>2.6399552161088902E-3</v>
          </cell>
          <cell r="I610">
            <v>1.65780826639777E-4</v>
          </cell>
          <cell r="J610">
            <v>6.4385397577287797E-4</v>
          </cell>
        </row>
        <row r="611">
          <cell r="A611" t="str">
            <v>T_B_u-BEVELC-S1</v>
          </cell>
          <cell r="B611" t="str">
            <v>VAR_cap</v>
          </cell>
          <cell r="C611" t="str">
            <v>-</v>
          </cell>
          <cell r="H611">
            <v>2.6421075244587103E-3</v>
          </cell>
          <cell r="I611">
            <v>2.8058226375806822E-3</v>
          </cell>
          <cell r="J611">
            <v>1.1902582635987212E-3</v>
          </cell>
        </row>
        <row r="612">
          <cell r="A612" t="str">
            <v>TPSHPH2OEXT</v>
          </cell>
          <cell r="B612" t="str">
            <v>VAR_fout</v>
          </cell>
          <cell r="C612" t="str">
            <v>TPSHP</v>
          </cell>
          <cell r="H612">
            <v>6.5961952898691098E-6</v>
          </cell>
          <cell r="I612">
            <v>7.4786312808900299E-6</v>
          </cell>
          <cell r="J612">
            <v>8.3641556506247302E-5</v>
          </cell>
        </row>
        <row r="613">
          <cell r="A613" t="str">
            <v>TPSHPH2OEXT</v>
          </cell>
          <cell r="B613" t="str">
            <v>VAR_fin</v>
          </cell>
          <cell r="C613" t="str">
            <v>TH2O</v>
          </cell>
          <cell r="H613">
            <v>3.6778785858664085E-6</v>
          </cell>
          <cell r="I613">
            <v>4.1699035020720036E-6</v>
          </cell>
          <cell r="J613">
            <v>4.6636504233786458E-5</v>
          </cell>
        </row>
        <row r="614">
          <cell r="A614" t="str">
            <v>TPSHPH2OEXT</v>
          </cell>
          <cell r="B614" t="str">
            <v>VAR_ncap</v>
          </cell>
          <cell r="C614" t="str">
            <v>-</v>
          </cell>
          <cell r="H614">
            <v>6.1113052397713602E-6</v>
          </cell>
          <cell r="I614">
            <v>1.30667087714173E-6</v>
          </cell>
          <cell r="J614">
            <v>6.8917190922675596E-5</v>
          </cell>
        </row>
        <row r="615">
          <cell r="A615" t="str">
            <v>TPSHPH2OEXT</v>
          </cell>
          <cell r="B615" t="str">
            <v>VAR_cap</v>
          </cell>
          <cell r="C615" t="str">
            <v>-</v>
          </cell>
          <cell r="H615">
            <v>6.1113052397713602E-6</v>
          </cell>
          <cell r="I615">
            <v>7.3083536655314379E-6</v>
          </cell>
          <cell r="J615">
            <v>7.4677247903215266E-5</v>
          </cell>
        </row>
        <row r="616">
          <cell r="A616" t="str">
            <v>T_B_u-BEVELC-S2</v>
          </cell>
          <cell r="B616" t="str">
            <v>VAR_fout</v>
          </cell>
          <cell r="C616" t="str">
            <v>TPBSu</v>
          </cell>
          <cell r="H616">
            <v>4.1355164084245062E-2</v>
          </cell>
          <cell r="I616">
            <v>4.3109179937043961E-2</v>
          </cell>
          <cell r="J616">
            <v>4.6118992164899897E-2</v>
          </cell>
        </row>
        <row r="617">
          <cell r="A617" t="str">
            <v>T_B_u-BEVELC-S2</v>
          </cell>
          <cell r="B617" t="str">
            <v>VAR_fin</v>
          </cell>
          <cell r="C617" t="str">
            <v>T-ELC-Bus_u_BatSTGout_S2</v>
          </cell>
          <cell r="H617">
            <v>0.12170979615021169</v>
          </cell>
          <cell r="I617">
            <v>0.12553509691156792</v>
          </cell>
          <cell r="J617">
            <v>0.1207013247928702</v>
          </cell>
        </row>
        <row r="618">
          <cell r="A618" t="str">
            <v>T_B_u-BEVELC-S2</v>
          </cell>
          <cell r="B618" t="str">
            <v>VAR_ncap</v>
          </cell>
          <cell r="C618" t="str">
            <v>-</v>
          </cell>
          <cell r="H618">
            <v>7.1084476437740303E-4</v>
          </cell>
          <cell r="I618">
            <v>1.01828664463086E-4</v>
          </cell>
          <cell r="J618">
            <v>6.9392830897175098E-4</v>
          </cell>
        </row>
        <row r="619">
          <cell r="A619" t="str">
            <v>T_B_u-BEVELC-S2</v>
          </cell>
          <cell r="B619" t="str">
            <v>VAR_cap</v>
          </cell>
          <cell r="C619" t="str">
            <v>-</v>
          </cell>
          <cell r="H619">
            <v>7.7997003377699005E-4</v>
          </cell>
          <cell r="I619">
            <v>8.1300351388437599E-4</v>
          </cell>
          <cell r="J619">
            <v>8.6974110120949602E-4</v>
          </cell>
        </row>
        <row r="620">
          <cell r="A620" t="str">
            <v>TFHGV-ICEDSL</v>
          </cell>
          <cell r="B620" t="str">
            <v>VAR_fout</v>
          </cell>
          <cell r="C620" t="str">
            <v>CO2_T</v>
          </cell>
          <cell r="H620">
            <v>1.9717932870937288E-2</v>
          </cell>
          <cell r="I620">
            <v>2.8162723253621902E-2</v>
          </cell>
          <cell r="J620">
            <v>8.8748508978113705E-3</v>
          </cell>
        </row>
        <row r="621">
          <cell r="A621" t="str">
            <v>TFHGV-ICEDSL</v>
          </cell>
          <cell r="B621" t="str">
            <v>VAR_fout</v>
          </cell>
          <cell r="C621" t="str">
            <v>TFHGV</v>
          </cell>
          <cell r="H621">
            <v>3.1931622640329164E-5</v>
          </cell>
          <cell r="I621">
            <v>4.5607288418358877E-5</v>
          </cell>
          <cell r="J621">
            <v>1.4372114547351585E-5</v>
          </cell>
        </row>
        <row r="622">
          <cell r="A622" t="str">
            <v>TFHGV-ICEDSL</v>
          </cell>
          <cell r="B622" t="str">
            <v>VAR_fin</v>
          </cell>
          <cell r="C622" t="str">
            <v>TDSL</v>
          </cell>
          <cell r="H622">
            <v>2.6900317695685263E-4</v>
          </cell>
          <cell r="I622">
            <v>3.8421177699347675E-4</v>
          </cell>
          <cell r="J622">
            <v>1.2107572848310208E-4</v>
          </cell>
        </row>
        <row r="623">
          <cell r="A623" t="str">
            <v>TFHGV-ICEDSL</v>
          </cell>
          <cell r="B623" t="str">
            <v>VAR_ncap</v>
          </cell>
          <cell r="C623" t="str">
            <v>-</v>
          </cell>
          <cell r="H623">
            <v>6.4096085797345397E-7</v>
          </cell>
          <cell r="I623">
            <v>6.4642382290424799E-7</v>
          </cell>
          <cell r="J623">
            <v>2.1778484023672E-7</v>
          </cell>
        </row>
        <row r="624">
          <cell r="A624" t="str">
            <v>TFHGV-ICEDSL</v>
          </cell>
          <cell r="B624" t="str">
            <v>VAR_cap</v>
          </cell>
          <cell r="C624" t="str">
            <v>-</v>
          </cell>
          <cell r="H624">
            <v>7.4388234684132998E-7</v>
          </cell>
          <cell r="I624">
            <v>1.08419131392533E-6</v>
          </cell>
          <cell r="J624">
            <v>3.3122487540517802E-7</v>
          </cell>
        </row>
        <row r="625">
          <cell r="A625" t="str">
            <v>D-T-ELC-Bus_u_S1</v>
          </cell>
          <cell r="B625" t="str">
            <v>VAR_fout</v>
          </cell>
          <cell r="C625" t="str">
            <v>T-ELC-Bus_u_BatSTGin_S1</v>
          </cell>
          <cell r="H625">
            <v>0.24338561059843666</v>
          </cell>
          <cell r="I625">
            <v>0.25279280741022964</v>
          </cell>
          <cell r="J625">
            <v>0.10508241155834325</v>
          </cell>
        </row>
        <row r="626">
          <cell r="A626" t="str">
            <v>D-T-ELC-Bus_u_S1</v>
          </cell>
          <cell r="B626" t="str">
            <v>VAR_fin</v>
          </cell>
          <cell r="C626" t="str">
            <v>TELC</v>
          </cell>
          <cell r="H626">
            <v>0.24338561059843666</v>
          </cell>
          <cell r="I626">
            <v>0.25279280741022964</v>
          </cell>
          <cell r="J626">
            <v>0.10508241155834325</v>
          </cell>
        </row>
        <row r="627">
          <cell r="A627" t="str">
            <v>D-T-ELC-Bus_u_S1</v>
          </cell>
          <cell r="B627" t="str">
            <v>VAR_ncap</v>
          </cell>
          <cell r="C627" t="str">
            <v>-</v>
          </cell>
          <cell r="H627">
            <v>6.5089877505966205E-5</v>
          </cell>
          <cell r="I627">
            <v>2.20819055585675E-2</v>
          </cell>
          <cell r="J627">
            <v>2.14813972890929E-5</v>
          </cell>
        </row>
        <row r="628">
          <cell r="A628" t="str">
            <v>D-T-ELC-Bus_u_S1</v>
          </cell>
          <cell r="B628" t="str">
            <v>VAR_cap</v>
          </cell>
          <cell r="C628" t="str">
            <v>-</v>
          </cell>
          <cell r="H628">
            <v>2.5929535694724001E-2</v>
          </cell>
          <cell r="I628">
            <v>2.6720018961807399E-2</v>
          </cell>
          <cell r="J628">
            <v>1.11070963815164E-2</v>
          </cell>
        </row>
        <row r="629">
          <cell r="A629" t="str">
            <v>T-Plg-DSL-mix_S1</v>
          </cell>
          <cell r="B629" t="str">
            <v>VAR_fout</v>
          </cell>
          <cell r="C629" t="str">
            <v>CO2_T</v>
          </cell>
          <cell r="H629">
            <v>1.4371321240755181E-2</v>
          </cell>
          <cell r="I629">
            <v>1.0235451307226182E-2</v>
          </cell>
          <cell r="J629">
            <v>4.5559707127974195E-3</v>
          </cell>
        </row>
        <row r="630">
          <cell r="A630" t="str">
            <v>T-Plg-DSL-mix_S1</v>
          </cell>
          <cell r="B630" t="str">
            <v>VAR_fout</v>
          </cell>
          <cell r="C630" t="str">
            <v>T-PEVmix-ELC_DSL_S1</v>
          </cell>
          <cell r="H630">
            <v>1.4676350568405575E-4</v>
          </cell>
          <cell r="I630">
            <v>1.0777936656506705E-4</v>
          </cell>
          <cell r="J630">
            <v>5.2089150309065069E-5</v>
          </cell>
        </row>
        <row r="631">
          <cell r="A631" t="str">
            <v>T-Plg-DSL-mix_S1</v>
          </cell>
          <cell r="B631" t="str">
            <v>VAR_fin</v>
          </cell>
          <cell r="C631" t="str">
            <v>TDSL</v>
          </cell>
          <cell r="H631">
            <v>1.9606168131998877E-4</v>
          </cell>
          <cell r="I631">
            <v>1.3963780773842003E-4</v>
          </cell>
          <cell r="J631">
            <v>6.2155125686185855E-5</v>
          </cell>
        </row>
        <row r="632">
          <cell r="A632" t="str">
            <v>T_B_u-BEVELC-S3</v>
          </cell>
          <cell r="B632" t="str">
            <v>VAR_fout</v>
          </cell>
          <cell r="C632" t="str">
            <v>TPBSu</v>
          </cell>
          <cell r="H632">
            <v>7.6824698789127011E-2</v>
          </cell>
          <cell r="I632">
            <v>6.6387466687705801E-2</v>
          </cell>
          <cell r="J632">
            <v>0.14905197458160777</v>
          </cell>
        </row>
        <row r="633">
          <cell r="A633" t="str">
            <v>T_B_u-BEVELC-S3</v>
          </cell>
          <cell r="B633" t="str">
            <v>VAR_fin</v>
          </cell>
          <cell r="C633" t="str">
            <v>T-ELC-Bus_u_BatSTGout_S3</v>
          </cell>
          <cell r="H633">
            <v>0.35230612359948327</v>
          </cell>
          <cell r="I633">
            <v>0.28069890878949721</v>
          </cell>
          <cell r="J633">
            <v>0.57516426193356318</v>
          </cell>
        </row>
        <row r="634">
          <cell r="A634" t="str">
            <v>T_B_u-BEVELC-S3</v>
          </cell>
          <cell r="B634" t="str">
            <v>VAR_ncap</v>
          </cell>
          <cell r="C634" t="str">
            <v>-</v>
          </cell>
          <cell r="H634">
            <v>2.6850107099690203E-4</v>
          </cell>
          <cell r="I634">
            <v>9.8340589768459107E-4</v>
          </cell>
          <cell r="J634">
            <v>2.4739173538552502E-3</v>
          </cell>
        </row>
        <row r="635">
          <cell r="A635" t="str">
            <v>T_B_u-BEVELC-S3</v>
          </cell>
          <cell r="B635" t="str">
            <v>VAR_cap</v>
          </cell>
          <cell r="C635" t="str">
            <v>-</v>
          </cell>
          <cell r="H635">
            <v>1.4487489589780289E-3</v>
          </cell>
          <cell r="I635">
            <v>1.25190696868149E-3</v>
          </cell>
          <cell r="J635">
            <v>2.8107547679859101E-3</v>
          </cell>
        </row>
        <row r="636">
          <cell r="A636" t="str">
            <v>D-T-ELC-Bus_u_S2</v>
          </cell>
          <cell r="B636" t="str">
            <v>VAR_fout</v>
          </cell>
          <cell r="C636" t="str">
            <v>T-ELC-Bus_u_BatSTGin_S2</v>
          </cell>
          <cell r="H636">
            <v>0.12174889492264557</v>
          </cell>
          <cell r="I636">
            <v>0.12556773765033349</v>
          </cell>
          <cell r="J636">
            <v>0.12072753267605815</v>
          </cell>
        </row>
        <row r="637">
          <cell r="A637" t="str">
            <v>D-T-ELC-Bus_u_S2</v>
          </cell>
          <cell r="B637" t="str">
            <v>VAR_fin</v>
          </cell>
          <cell r="C637" t="str">
            <v>TELC</v>
          </cell>
          <cell r="H637">
            <v>0.12174889492264557</v>
          </cell>
          <cell r="I637">
            <v>0.12556773765033349</v>
          </cell>
          <cell r="J637">
            <v>0.12072753267605815</v>
          </cell>
        </row>
        <row r="638">
          <cell r="A638" t="str">
            <v>D-T-ELC-Bus_u_S2</v>
          </cell>
          <cell r="B638" t="str">
            <v>VAR_ncap</v>
          </cell>
          <cell r="C638" t="str">
            <v>-</v>
          </cell>
          <cell r="H638">
            <v>1.6241419487724601E-4</v>
          </cell>
          <cell r="I638">
            <v>1.08673056406974E-2</v>
          </cell>
          <cell r="J638">
            <v>7.2822329724217304E-3</v>
          </cell>
        </row>
        <row r="639">
          <cell r="A639" t="str">
            <v>D-T-ELC-Bus_u_S2</v>
          </cell>
          <cell r="B639" t="str">
            <v>VAR_cap</v>
          </cell>
          <cell r="C639" t="str">
            <v>-</v>
          </cell>
          <cell r="H639">
            <v>1.2869075707452399E-2</v>
          </cell>
          <cell r="I639">
            <v>1.32724729496419E-2</v>
          </cell>
          <cell r="J639">
            <v>1.2760746084602601E-2</v>
          </cell>
        </row>
        <row r="640">
          <cell r="A640" t="str">
            <v>T-Plg-DSL-mix_S2</v>
          </cell>
          <cell r="B640" t="str">
            <v>VAR_fout</v>
          </cell>
          <cell r="C640" t="str">
            <v>CO2_T</v>
          </cell>
          <cell r="H640">
            <v>6.2162076346682429E-2</v>
          </cell>
          <cell r="I640">
            <v>5.5316468144867313E-2</v>
          </cell>
          <cell r="J640">
            <v>2.164120633072417E-2</v>
          </cell>
        </row>
        <row r="641">
          <cell r="A641" t="str">
            <v>T-Plg-DSL-mix_S2</v>
          </cell>
          <cell r="B641" t="str">
            <v>VAR_fout</v>
          </cell>
          <cell r="C641" t="str">
            <v>T-PEVmix-ELC_DSL_S2</v>
          </cell>
          <cell r="H641">
            <v>5.1951234457316652E-4</v>
          </cell>
          <cell r="I641">
            <v>4.8186211907442144E-4</v>
          </cell>
          <cell r="J641">
            <v>2.1104560074506991E-4</v>
          </cell>
        </row>
        <row r="642">
          <cell r="A642" t="str">
            <v>T-Plg-DSL-mix_S2</v>
          </cell>
          <cell r="B642" t="str">
            <v>VAR_fin</v>
          </cell>
          <cell r="C642" t="str">
            <v>TDSL</v>
          </cell>
          <cell r="H642">
            <v>8.4805015479785047E-4</v>
          </cell>
          <cell r="I642">
            <v>7.5465850129423405E-4</v>
          </cell>
          <cell r="J642">
            <v>2.9524155976431288E-4</v>
          </cell>
        </row>
        <row r="643">
          <cell r="A643" t="str">
            <v>T_B_u-BEVELC-S4</v>
          </cell>
          <cell r="B643" t="str">
            <v>VAR_fout</v>
          </cell>
          <cell r="C643" t="str">
            <v>TPBSu</v>
          </cell>
          <cell r="H643">
            <v>1.1716980080592308E-6</v>
          </cell>
          <cell r="I643">
            <v>9.4059755907119214E-7</v>
          </cell>
          <cell r="J643">
            <v>8.4291830859944377E-7</v>
          </cell>
        </row>
        <row r="644">
          <cell r="A644" t="str">
            <v>T_B_u-BEVELC-S4</v>
          </cell>
          <cell r="B644" t="str">
            <v>VAR_fin</v>
          </cell>
          <cell r="C644" t="str">
            <v>T-ELC-Bus_u_BatSTGout_S4</v>
          </cell>
          <cell r="H644">
            <v>7.7066986219940146E-6</v>
          </cell>
          <cell r="I644">
            <v>5.8842664133528237E-6</v>
          </cell>
          <cell r="J644">
            <v>4.8036062359328746E-6</v>
          </cell>
        </row>
        <row r="645">
          <cell r="A645" t="str">
            <v>T_B_u-BEVELC-S4</v>
          </cell>
          <cell r="B645" t="str">
            <v>VAR_ncap</v>
          </cell>
          <cell r="C645" t="str">
            <v>-</v>
          </cell>
          <cell r="H645">
            <v>6.3791670690834196E-8</v>
          </cell>
          <cell r="I645">
            <v>6.4157885638197706E-8</v>
          </cell>
          <cell r="J645">
            <v>2.7330150378535999E-8</v>
          </cell>
        </row>
        <row r="646">
          <cell r="A646" t="str">
            <v>T_B_u-BEVELC-S4</v>
          </cell>
          <cell r="B646" t="str">
            <v>VAR_cap</v>
          </cell>
          <cell r="C646" t="str">
            <v>-</v>
          </cell>
          <cell r="H646">
            <v>7.3458099561902794E-8</v>
          </cell>
          <cell r="I646">
            <v>8.7911204036346208E-8</v>
          </cell>
          <cell r="J646">
            <v>3.8589130238579202E-8</v>
          </cell>
        </row>
        <row r="647">
          <cell r="A647" t="str">
            <v>D-TBDS1</v>
          </cell>
          <cell r="B647" t="str">
            <v>VAR_fout</v>
          </cell>
          <cell r="C647" t="str">
            <v>TDSL</v>
          </cell>
          <cell r="H647">
            <v>2.0043261726397863</v>
          </cell>
          <cell r="I647">
            <v>1.5372515133111375</v>
          </cell>
          <cell r="J647">
            <v>1.2802270496996924</v>
          </cell>
        </row>
        <row r="648">
          <cell r="A648" t="str">
            <v>D-TBDS1</v>
          </cell>
          <cell r="B648" t="str">
            <v>VAR_fout</v>
          </cell>
          <cell r="C648" t="str">
            <v>TKER</v>
          </cell>
          <cell r="H648">
            <v>0.96686012196584104</v>
          </cell>
          <cell r="I648">
            <v>1.4337777950010999</v>
          </cell>
          <cell r="J648">
            <v>1.6907713324512901</v>
          </cell>
        </row>
        <row r="649">
          <cell r="A649" t="str">
            <v>D-TBDS1</v>
          </cell>
          <cell r="B649" t="str">
            <v>VAR_fin</v>
          </cell>
          <cell r="C649" t="str">
            <v>BDS</v>
          </cell>
          <cell r="H649">
            <v>3.015502542098603</v>
          </cell>
          <cell r="I649">
            <v>3.0153428308715227</v>
          </cell>
          <cell r="J649">
            <v>3.0153116143202499</v>
          </cell>
        </row>
        <row r="650">
          <cell r="A650" t="str">
            <v>D-T-ELC-Bus_u_S3</v>
          </cell>
          <cell r="B650" t="str">
            <v>VAR_fout</v>
          </cell>
          <cell r="C650" t="str">
            <v>T-ELC-Bus_u_BatSTGin_S3</v>
          </cell>
          <cell r="H650">
            <v>0.35235181429255913</v>
          </cell>
          <cell r="I650">
            <v>0.28073623705680972</v>
          </cell>
          <cell r="J650">
            <v>0.57522863686545933</v>
          </cell>
        </row>
        <row r="651">
          <cell r="A651" t="str">
            <v>D-T-ELC-Bus_u_S3</v>
          </cell>
          <cell r="B651" t="str">
            <v>VAR_fin</v>
          </cell>
          <cell r="C651" t="str">
            <v>TELC</v>
          </cell>
          <cell r="H651">
            <v>0.35235181429255913</v>
          </cell>
          <cell r="I651">
            <v>0.28073623705680972</v>
          </cell>
          <cell r="J651">
            <v>0.57522863686545933</v>
          </cell>
        </row>
        <row r="652">
          <cell r="A652" t="str">
            <v>D-T-ELC-Bus_u_S3</v>
          </cell>
          <cell r="B652" t="str">
            <v>VAR_ncap</v>
          </cell>
          <cell r="C652" t="str">
            <v>-</v>
          </cell>
          <cell r="H652">
            <v>6.6670822853412796E-3</v>
          </cell>
          <cell r="I652">
            <v>2.3006523714811301E-2</v>
          </cell>
          <cell r="J652">
            <v>5.29209600695522E-2</v>
          </cell>
        </row>
        <row r="653">
          <cell r="A653" t="str">
            <v>D-T-ELC-Bus_u_S3</v>
          </cell>
          <cell r="B653" t="str">
            <v>VAR_cap</v>
          </cell>
          <cell r="C653" t="str">
            <v>-</v>
          </cell>
          <cell r="H653">
            <v>3.7243311420343997E-2</v>
          </cell>
          <cell r="I653">
            <v>2.9673606000152598E-2</v>
          </cell>
          <cell r="J653">
            <v>6.0801183255602603E-2</v>
          </cell>
        </row>
        <row r="654">
          <cell r="A654" t="str">
            <v>T-Plg-DSL-mix_S3</v>
          </cell>
          <cell r="B654" t="str">
            <v>VAR_fout</v>
          </cell>
          <cell r="C654" t="str">
            <v>CO2_T</v>
          </cell>
          <cell r="H654">
            <v>697.38773791874496</v>
          </cell>
          <cell r="I654">
            <v>601.53793321948956</v>
          </cell>
          <cell r="J654">
            <v>294.5613498873152</v>
          </cell>
        </row>
        <row r="655">
          <cell r="A655" t="str">
            <v>T-Plg-DSL-mix_S3</v>
          </cell>
          <cell r="B655" t="str">
            <v>VAR_fout</v>
          </cell>
          <cell r="C655" t="str">
            <v>T-PEVmix-ELC_DSL_S3</v>
          </cell>
          <cell r="H655">
            <v>5.4084765393406737</v>
          </cell>
          <cell r="I655">
            <v>4.884460062542769</v>
          </cell>
          <cell r="J655">
            <v>2.7862791730325931</v>
          </cell>
        </row>
        <row r="656">
          <cell r="A656" t="str">
            <v>T-Plg-DSL-mix_S3</v>
          </cell>
          <cell r="B656" t="str">
            <v>VAR_fin</v>
          </cell>
          <cell r="C656" t="str">
            <v>TDSL</v>
          </cell>
          <cell r="H656">
            <v>9.5141574068041539</v>
          </cell>
          <cell r="I656">
            <v>8.2065202349179902</v>
          </cell>
          <cell r="J656">
            <v>4.0185723040561445</v>
          </cell>
        </row>
        <row r="657">
          <cell r="A657" t="str">
            <v>D-T-ELC-Bus_u_S4</v>
          </cell>
          <cell r="B657" t="str">
            <v>VAR_fout</v>
          </cell>
          <cell r="C657" t="str">
            <v>T-ELC-Bus_u_BatSTGin_S4</v>
          </cell>
          <cell r="H657">
            <v>4.6870198138201643E-5</v>
          </cell>
          <cell r="I657">
            <v>4.9868932592733999E-5</v>
          </cell>
          <cell r="J657">
            <v>3.0927214943898127E-5</v>
          </cell>
        </row>
        <row r="658">
          <cell r="A658" t="str">
            <v>D-T-ELC-Bus_u_S4</v>
          </cell>
          <cell r="B658" t="str">
            <v>VAR_fin</v>
          </cell>
          <cell r="C658" t="str">
            <v>TELC</v>
          </cell>
          <cell r="H658">
            <v>4.6870198138201643E-5</v>
          </cell>
          <cell r="I658">
            <v>4.9868932592733999E-5</v>
          </cell>
          <cell r="J658">
            <v>3.0927214943898127E-5</v>
          </cell>
        </row>
        <row r="659">
          <cell r="A659" t="str">
            <v>D-T-ELC-Bus_u_S4</v>
          </cell>
          <cell r="B659" t="str">
            <v>VAR_ncap</v>
          </cell>
          <cell r="C659" t="str">
            <v>-</v>
          </cell>
          <cell r="H659">
            <v>8.9691607353184403E-6</v>
          </cell>
          <cell r="I659">
            <v>1.0733739712340199E-5</v>
          </cell>
          <cell r="J659">
            <v>4.05872227285586E-6</v>
          </cell>
        </row>
        <row r="660">
          <cell r="A660" t="str">
            <v>D-T-ELC-Bus_u_S4</v>
          </cell>
          <cell r="B660" t="str">
            <v>VAR_cap</v>
          </cell>
          <cell r="C660" t="str">
            <v>-</v>
          </cell>
          <cell r="H660">
            <v>1.10873641722477E-5</v>
          </cell>
          <cell r="I660">
            <v>1.68595537036648E-5</v>
          </cell>
          <cell r="J660">
            <v>5.9423716176253E-6</v>
          </cell>
        </row>
        <row r="661">
          <cell r="A661" t="str">
            <v>T_C-FC-H2O-S1</v>
          </cell>
          <cell r="B661" t="str">
            <v>VAR_fout</v>
          </cell>
          <cell r="C661" t="str">
            <v>TPCAR</v>
          </cell>
          <cell r="H661">
            <v>2.4238769569531997E-6</v>
          </cell>
          <cell r="I661">
            <v>2.7347458858551146E-6</v>
          </cell>
          <cell r="J661">
            <v>2.160443521811842E-6</v>
          </cell>
        </row>
        <row r="662">
          <cell r="A662" t="str">
            <v>T_C-FC-H2O-S1</v>
          </cell>
          <cell r="B662" t="str">
            <v>VAR_fin</v>
          </cell>
          <cell r="C662" t="str">
            <v>TH2O</v>
          </cell>
          <cell r="H662">
            <v>2.1302468585612227E-6</v>
          </cell>
          <cell r="I662">
            <v>2.2704690005909155E-6</v>
          </cell>
          <cell r="J662">
            <v>1.6159945052690235E-6</v>
          </cell>
        </row>
        <row r="663">
          <cell r="A663" t="str">
            <v>T_C-FC-H2O-S1</v>
          </cell>
          <cell r="B663" t="str">
            <v>VAR_ncap</v>
          </cell>
          <cell r="C663" t="str">
            <v>-</v>
          </cell>
          <cell r="H663">
            <v>3.0302203231658898E-7</v>
          </cell>
          <cell r="I663">
            <v>3.2963094155625002E-7</v>
          </cell>
          <cell r="J663">
            <v>3.58389974844168E-7</v>
          </cell>
        </row>
        <row r="664">
          <cell r="A664" t="str">
            <v>T_C-FC-H2O-S1</v>
          </cell>
          <cell r="B664" t="str">
            <v>VAR_cap</v>
          </cell>
          <cell r="C664" t="str">
            <v>-</v>
          </cell>
          <cell r="H664">
            <v>6.4291956938878438E-7</v>
          </cell>
          <cell r="I664">
            <v>6.5495431369004698E-7</v>
          </cell>
          <cell r="J664">
            <v>5.4821385842151904E-7</v>
          </cell>
        </row>
        <row r="665">
          <cell r="A665" t="str">
            <v>T_B_c-ICEDSL-S1</v>
          </cell>
          <cell r="B665" t="str">
            <v>VAR_fout</v>
          </cell>
          <cell r="C665" t="str">
            <v>CO2_T</v>
          </cell>
        </row>
        <row r="666">
          <cell r="A666" t="str">
            <v>T_B_c-ICEDSL-S1</v>
          </cell>
          <cell r="B666" t="str">
            <v>VAR_fout</v>
          </cell>
          <cell r="C666" t="str">
            <v>TPBSc</v>
          </cell>
        </row>
        <row r="667">
          <cell r="A667" t="str">
            <v>T_B_c-ICEDSL-S1</v>
          </cell>
          <cell r="B667" t="str">
            <v>VAR_fin</v>
          </cell>
          <cell r="C667" t="str">
            <v>TDSL</v>
          </cell>
        </row>
        <row r="668">
          <cell r="A668" t="str">
            <v>T_B_c-ICEDSL-S1</v>
          </cell>
          <cell r="B668" t="str">
            <v>VAR_ncap</v>
          </cell>
          <cell r="C668" t="str">
            <v>-</v>
          </cell>
        </row>
        <row r="669">
          <cell r="A669" t="str">
            <v>T_B_c-ICEDSL-S1</v>
          </cell>
          <cell r="B669" t="str">
            <v>VAR_cap</v>
          </cell>
          <cell r="C669" t="str">
            <v>-</v>
          </cell>
          <cell r="H669">
            <v>1.6621737710043527E-9</v>
          </cell>
        </row>
        <row r="670">
          <cell r="A670" t="str">
            <v>T-Plg-DSL-mix_S4</v>
          </cell>
          <cell r="B670" t="str">
            <v>VAR_fout</v>
          </cell>
          <cell r="C670" t="str">
            <v>CO2_T</v>
          </cell>
          <cell r="H670">
            <v>0.1942993907032711</v>
          </cell>
          <cell r="I670">
            <v>6.3586316114822738E-2</v>
          </cell>
          <cell r="J670">
            <v>2.1743844827529842E-2</v>
          </cell>
        </row>
        <row r="671">
          <cell r="A671" t="str">
            <v>T-Plg-DSL-mix_S4</v>
          </cell>
          <cell r="B671" t="str">
            <v>VAR_fout</v>
          </cell>
          <cell r="C671" t="str">
            <v>T-PEVmix-ELC_DSL_S4</v>
          </cell>
          <cell r="H671">
            <v>1.4265407700856077E-3</v>
          </cell>
          <cell r="I671">
            <v>4.8826003741870281E-4</v>
          </cell>
          <cell r="J671">
            <v>1.8536665510587204E-4</v>
          </cell>
        </row>
        <row r="672">
          <cell r="A672" t="str">
            <v>T-Plg-DSL-mix_S4</v>
          </cell>
          <cell r="B672" t="str">
            <v>VAR_fin</v>
          </cell>
          <cell r="C672" t="str">
            <v>TDSL</v>
          </cell>
          <cell r="H672">
            <v>2.650742028694017E-3</v>
          </cell>
          <cell r="I672">
            <v>8.6748043812854994E-4</v>
          </cell>
          <cell r="J672">
            <v>2.9664181210818359E-4</v>
          </cell>
        </row>
        <row r="673">
          <cell r="A673" t="str">
            <v>T_C-FC-H2O-S2</v>
          </cell>
          <cell r="B673" t="str">
            <v>VAR_fout</v>
          </cell>
          <cell r="C673" t="str">
            <v>TPCAR</v>
          </cell>
          <cell r="H673">
            <v>4.668380381359856E-6</v>
          </cell>
          <cell r="I673">
            <v>4.6994847667670032E-6</v>
          </cell>
          <cell r="J673">
            <v>4.6548663200631928E-6</v>
          </cell>
        </row>
        <row r="674">
          <cell r="A674" t="str">
            <v>T_C-FC-H2O-S2</v>
          </cell>
          <cell r="B674" t="str">
            <v>VAR_fin</v>
          </cell>
          <cell r="C674" t="str">
            <v>TH2O</v>
          </cell>
          <cell r="H674">
            <v>5.0324960299801878E-6</v>
          </cell>
          <cell r="I674">
            <v>4.780298068052904E-6</v>
          </cell>
          <cell r="J674">
            <v>4.2346848128627503E-6</v>
          </cell>
        </row>
        <row r="675">
          <cell r="A675" t="str">
            <v>T_C-FC-H2O-S2</v>
          </cell>
          <cell r="B675" t="str">
            <v>VAR_ncap</v>
          </cell>
          <cell r="C675" t="str">
            <v>-</v>
          </cell>
          <cell r="H675">
            <v>2.7968676657051502E-7</v>
          </cell>
          <cell r="I675">
            <v>2.9652579482106399E-7</v>
          </cell>
          <cell r="J675">
            <v>3.78928676631084E-7</v>
          </cell>
        </row>
        <row r="676">
          <cell r="A676" t="str">
            <v>T_C-FC-H2O-S2</v>
          </cell>
          <cell r="B676" t="str">
            <v>VAR_cap</v>
          </cell>
          <cell r="C676" t="str">
            <v>-</v>
          </cell>
          <cell r="H676">
            <v>5.6123423007640501E-7</v>
          </cell>
          <cell r="I676">
            <v>5.8989410565127904E-7</v>
          </cell>
          <cell r="J676">
            <v>5.4317637375166095E-7</v>
          </cell>
        </row>
        <row r="677">
          <cell r="A677" t="str">
            <v>T_B_c-ICEDSL-S2</v>
          </cell>
          <cell r="B677" t="str">
            <v>VAR_fout</v>
          </cell>
          <cell r="C677" t="str">
            <v>CO2_T</v>
          </cell>
        </row>
        <row r="678">
          <cell r="A678" t="str">
            <v>T_B_c-ICEDSL-S2</v>
          </cell>
          <cell r="B678" t="str">
            <v>VAR_fout</v>
          </cell>
          <cell r="C678" t="str">
            <v>TPBSc</v>
          </cell>
        </row>
        <row r="679">
          <cell r="A679" t="str">
            <v>T_B_c-ICEDSL-S2</v>
          </cell>
          <cell r="B679" t="str">
            <v>VAR_fin</v>
          </cell>
          <cell r="C679" t="str">
            <v>TDSL</v>
          </cell>
        </row>
        <row r="680">
          <cell r="A680" t="str">
            <v>T_B_c-ICEDSL-S2</v>
          </cell>
          <cell r="B680" t="str">
            <v>VAR_ncap</v>
          </cell>
          <cell r="C680" t="str">
            <v>-</v>
          </cell>
        </row>
        <row r="681">
          <cell r="A681" t="str">
            <v>T_B_c-ICEDSL-S2</v>
          </cell>
          <cell r="B681" t="str">
            <v>VAR_cap</v>
          </cell>
          <cell r="C681" t="str">
            <v>-</v>
          </cell>
          <cell r="H681">
            <v>1.3728750144693923E-9</v>
          </cell>
        </row>
        <row r="682">
          <cell r="A682" t="str">
            <v>T_TW-FCLH2O-S1</v>
          </cell>
          <cell r="B682" t="str">
            <v>VAR_fout</v>
          </cell>
          <cell r="C682" t="str">
            <v>TPTWL</v>
          </cell>
          <cell r="H682">
            <v>7.5834612985050881E-5</v>
          </cell>
          <cell r="I682">
            <v>1.0014018918745312E-4</v>
          </cell>
          <cell r="J682">
            <v>8.4188680964723968E-5</v>
          </cell>
        </row>
        <row r="683">
          <cell r="A683" t="str">
            <v>T_TW-FCLH2O-S1</v>
          </cell>
          <cell r="B683" t="str">
            <v>VAR_fin</v>
          </cell>
          <cell r="C683" t="str">
            <v>TH2O</v>
          </cell>
          <cell r="H683">
            <v>1.6180955742966855E-5</v>
          </cell>
          <cell r="I683">
            <v>2.1102224320566434E-5</v>
          </cell>
          <cell r="J683">
            <v>1.7282013719851198E-5</v>
          </cell>
        </row>
        <row r="684">
          <cell r="A684" t="str">
            <v>T_TW-FCLH2O-S1</v>
          </cell>
          <cell r="B684" t="str">
            <v>VAR_ncap</v>
          </cell>
          <cell r="C684" t="str">
            <v>-</v>
          </cell>
          <cell r="H684">
            <v>1.8474867911066501E-5</v>
          </cell>
          <cell r="I684">
            <v>1.82887779892795E-5</v>
          </cell>
          <cell r="J684">
            <v>1.93939882320024E-5</v>
          </cell>
        </row>
        <row r="685">
          <cell r="A685" t="str">
            <v>T_TW-FCLH2O-S1</v>
          </cell>
          <cell r="B685" t="str">
            <v>VAR_cap</v>
          </cell>
          <cell r="C685" t="str">
            <v>-</v>
          </cell>
          <cell r="H685">
            <v>2.8880694792573401E-5</v>
          </cell>
          <cell r="I685">
            <v>3.859117638217625E-5</v>
          </cell>
          <cell r="J685">
            <v>3.1797882612909842E-5</v>
          </cell>
        </row>
        <row r="686">
          <cell r="A686" t="str">
            <v>D-T-ELC-TW_Bat_S1</v>
          </cell>
          <cell r="B686" t="str">
            <v>VAR_fout</v>
          </cell>
          <cell r="C686" t="str">
            <v>T-ELC-TWSTGin_S1</v>
          </cell>
          <cell r="H686">
            <v>4.1424704974928642E-4</v>
          </cell>
          <cell r="I686">
            <v>3.4559005520017619E-4</v>
          </cell>
          <cell r="J686">
            <v>2.1336133626941668E-4</v>
          </cell>
        </row>
        <row r="687">
          <cell r="A687" t="str">
            <v>D-T-ELC-TW_Bat_S1</v>
          </cell>
          <cell r="B687" t="str">
            <v>VAR_fin</v>
          </cell>
          <cell r="C687" t="str">
            <v>TELC</v>
          </cell>
          <cell r="H687">
            <v>4.1424704974928642E-4</v>
          </cell>
          <cell r="I687">
            <v>3.4559005520017619E-4</v>
          </cell>
          <cell r="J687">
            <v>2.1336133626941668E-4</v>
          </cell>
        </row>
        <row r="688">
          <cell r="A688" t="str">
            <v>D-T-ELC-TW_Bat_S1</v>
          </cell>
          <cell r="B688" t="str">
            <v>VAR_ncap</v>
          </cell>
          <cell r="C688" t="str">
            <v>-</v>
          </cell>
          <cell r="H688">
            <v>3.7523552385450003E-5</v>
          </cell>
          <cell r="I688">
            <v>7.7564146744376205E-7</v>
          </cell>
          <cell r="J688">
            <v>1.5719106871959199E-5</v>
          </cell>
        </row>
        <row r="689">
          <cell r="A689" t="str">
            <v>D-T-ELC-TW_Bat_S1</v>
          </cell>
          <cell r="B689" t="str">
            <v>VAR_cap</v>
          </cell>
          <cell r="C689" t="str">
            <v>-</v>
          </cell>
          <cell r="H689">
            <v>4.3903187891980203E-5</v>
          </cell>
          <cell r="I689">
            <v>3.9363598199193802E-5</v>
          </cell>
          <cell r="J689">
            <v>2.26930522091416E-5</v>
          </cell>
        </row>
        <row r="690">
          <cell r="A690" t="str">
            <v>T_C-FC-H2O-S3</v>
          </cell>
          <cell r="B690" t="str">
            <v>VAR_fout</v>
          </cell>
          <cell r="C690" t="str">
            <v>TPCAR</v>
          </cell>
          <cell r="H690">
            <v>5.3359194736501552E-6</v>
          </cell>
          <cell r="I690">
            <v>4.8183777816569605E-6</v>
          </cell>
          <cell r="J690">
            <v>5.8938714138628496E-6</v>
          </cell>
        </row>
        <row r="691">
          <cell r="A691" t="str">
            <v>T_C-FC-H2O-S3</v>
          </cell>
          <cell r="B691" t="str">
            <v>VAR_fin</v>
          </cell>
          <cell r="C691" t="str">
            <v>TH2O</v>
          </cell>
          <cell r="H691">
            <v>6.234146557334077E-6</v>
          </cell>
          <cell r="I691">
            <v>5.2484393175471501E-6</v>
          </cell>
          <cell r="J691">
            <v>5.7129308968521975E-6</v>
          </cell>
        </row>
        <row r="692">
          <cell r="A692" t="str">
            <v>T_C-FC-H2O-S3</v>
          </cell>
          <cell r="B692" t="str">
            <v>VAR_ncap</v>
          </cell>
          <cell r="C692" t="str">
            <v>-</v>
          </cell>
          <cell r="H692">
            <v>2.2970682780991299E-7</v>
          </cell>
          <cell r="I692">
            <v>2.6504955899122399E-7</v>
          </cell>
          <cell r="J692">
            <v>4.0722567127203802E-7</v>
          </cell>
        </row>
        <row r="693">
          <cell r="A693" t="str">
            <v>T_C-FC-H2O-S3</v>
          </cell>
          <cell r="B693" t="str">
            <v>VAR_cap</v>
          </cell>
          <cell r="C693" t="str">
            <v>-</v>
          </cell>
          <cell r="H693">
            <v>6.2212526077447874E-7</v>
          </cell>
          <cell r="I693">
            <v>5.0412926015038902E-7</v>
          </cell>
          <cell r="J693">
            <v>5.3893260247457301E-7</v>
          </cell>
        </row>
        <row r="694">
          <cell r="A694" t="str">
            <v>T_B_c-ICEDSL-S3</v>
          </cell>
          <cell r="B694" t="str">
            <v>VAR_fout</v>
          </cell>
          <cell r="C694" t="str">
            <v>CO2_T</v>
          </cell>
        </row>
        <row r="695">
          <cell r="A695" t="str">
            <v>T_B_c-ICEDSL-S3</v>
          </cell>
          <cell r="B695" t="str">
            <v>VAR_fout</v>
          </cell>
          <cell r="C695" t="str">
            <v>TPBSc</v>
          </cell>
        </row>
        <row r="696">
          <cell r="A696" t="str">
            <v>T_B_c-ICEDSL-S3</v>
          </cell>
          <cell r="B696" t="str">
            <v>VAR_fin</v>
          </cell>
          <cell r="C696" t="str">
            <v>TDSL</v>
          </cell>
        </row>
        <row r="697">
          <cell r="A697" t="str">
            <v>T_B_c-ICEDSL-S3</v>
          </cell>
          <cell r="B697" t="str">
            <v>VAR_ncap</v>
          </cell>
          <cell r="C697" t="str">
            <v>-</v>
          </cell>
        </row>
        <row r="698">
          <cell r="A698" t="str">
            <v>T_B_c-ICEDSL-S3</v>
          </cell>
          <cell r="B698" t="str">
            <v>VAR_cap</v>
          </cell>
          <cell r="C698" t="str">
            <v>-</v>
          </cell>
        </row>
        <row r="699">
          <cell r="A699" t="str">
            <v>T_TW-FCLH2O-S2</v>
          </cell>
          <cell r="B699" t="str">
            <v>VAR_fout</v>
          </cell>
          <cell r="C699" t="str">
            <v>TPTWL</v>
          </cell>
          <cell r="H699">
            <v>3.3549284515290322E-5</v>
          </cell>
          <cell r="I699">
            <v>4.5125454272622014E-5</v>
          </cell>
          <cell r="J699">
            <v>3.5946333340806893E-5</v>
          </cell>
        </row>
        <row r="700">
          <cell r="A700" t="str">
            <v>T_TW-FCLH2O-S2</v>
          </cell>
          <cell r="B700" t="str">
            <v>VAR_fin</v>
          </cell>
          <cell r="C700" t="str">
            <v>TH2O</v>
          </cell>
          <cell r="H700">
            <v>1.2308986052936273E-5</v>
          </cell>
          <cell r="I700">
            <v>1.6398159538157161E-5</v>
          </cell>
          <cell r="J700">
            <v>1.2783848587539207E-5</v>
          </cell>
        </row>
        <row r="701">
          <cell r="A701" t="str">
            <v>T_TW-FCLH2O-S2</v>
          </cell>
          <cell r="B701" t="str">
            <v>VAR_ncap</v>
          </cell>
          <cell r="C701" t="str">
            <v>-</v>
          </cell>
          <cell r="H701">
            <v>7.9006524754515999E-6</v>
          </cell>
          <cell r="I701">
            <v>7.1391837626794004E-6</v>
          </cell>
          <cell r="J701">
            <v>6.5484212207752996E-6</v>
          </cell>
        </row>
        <row r="702">
          <cell r="A702" t="str">
            <v>T_TW-FCLH2O-S2</v>
          </cell>
          <cell r="B702" t="str">
            <v>VAR_cap</v>
          </cell>
          <cell r="C702" t="str">
            <v>-</v>
          </cell>
          <cell r="H702">
            <v>1.28786952163397E-5</v>
          </cell>
          <cell r="I702">
            <v>1.76210061381111E-5</v>
          </cell>
          <cell r="J702">
            <v>1.3911422553752477E-5</v>
          </cell>
        </row>
        <row r="703">
          <cell r="A703" t="str">
            <v>D-T-ELC-TW_Bat_S2</v>
          </cell>
          <cell r="B703" t="str">
            <v>VAR_fout</v>
          </cell>
          <cell r="C703" t="str">
            <v>T-ELC-TWSTGin_S2</v>
          </cell>
          <cell r="H703">
            <v>4.6057756853990411E-4</v>
          </cell>
          <cell r="I703">
            <v>3.6137216664223202E-4</v>
          </cell>
          <cell r="J703">
            <v>1.8879098725369878E-4</v>
          </cell>
        </row>
        <row r="704">
          <cell r="A704" t="str">
            <v>D-T-ELC-TW_Bat_S2</v>
          </cell>
          <cell r="B704" t="str">
            <v>VAR_fin</v>
          </cell>
          <cell r="C704" t="str">
            <v>TELC</v>
          </cell>
          <cell r="H704">
            <v>4.6057756853990411E-4</v>
          </cell>
          <cell r="I704">
            <v>3.6137216664223202E-4</v>
          </cell>
          <cell r="J704">
            <v>1.8879098725369878E-4</v>
          </cell>
        </row>
        <row r="705">
          <cell r="A705" t="str">
            <v>D-T-ELC-TW_Bat_S2</v>
          </cell>
          <cell r="B705" t="str">
            <v>VAR_ncap</v>
          </cell>
          <cell r="C705" t="str">
            <v>-</v>
          </cell>
          <cell r="H705">
            <v>3.4027044024728299E-5</v>
          </cell>
          <cell r="I705">
            <v>1.9149794271230999E-7</v>
          </cell>
          <cell r="J705">
            <v>8.5053280292444898E-6</v>
          </cell>
        </row>
        <row r="706">
          <cell r="A706" t="str">
            <v>D-T-ELC-TW_Bat_S2</v>
          </cell>
          <cell r="B706" t="str">
            <v>VAR_cap</v>
          </cell>
          <cell r="C706" t="str">
            <v>-</v>
          </cell>
          <cell r="H706">
            <v>4.8753292777534901E-5</v>
          </cell>
          <cell r="I706">
            <v>4.0356266694357399E-5</v>
          </cell>
          <cell r="J706">
            <v>2.0285328903756599E-5</v>
          </cell>
        </row>
        <row r="707">
          <cell r="A707" t="str">
            <v>T_C-FC-H2O-S4</v>
          </cell>
          <cell r="B707" t="str">
            <v>VAR_fout</v>
          </cell>
          <cell r="C707" t="str">
            <v>TPCAR</v>
          </cell>
          <cell r="H707">
            <v>4.2284086649018344E-6</v>
          </cell>
          <cell r="I707">
            <v>4.8913942930166923E-6</v>
          </cell>
          <cell r="J707">
            <v>6.284004436412388E-6</v>
          </cell>
        </row>
        <row r="708">
          <cell r="A708" t="str">
            <v>T_C-FC-H2O-S4</v>
          </cell>
          <cell r="B708" t="str">
            <v>VAR_fin</v>
          </cell>
          <cell r="C708" t="str">
            <v>TH2O</v>
          </cell>
          <cell r="H708">
            <v>4.859454357079949E-6</v>
          </cell>
          <cell r="I708">
            <v>5.3203724957081439E-6</v>
          </cell>
          <cell r="J708">
            <v>6.0964918530015204E-6</v>
          </cell>
        </row>
        <row r="709">
          <cell r="A709" t="str">
            <v>T_C-FC-H2O-S4</v>
          </cell>
          <cell r="B709" t="str">
            <v>VAR_ncap</v>
          </cell>
          <cell r="C709" t="str">
            <v>-</v>
          </cell>
          <cell r="H709">
            <v>2.8127645027437502E-7</v>
          </cell>
          <cell r="I709">
            <v>3.2337757943182998E-7</v>
          </cell>
          <cell r="J709">
            <v>5.3456816713566797E-7</v>
          </cell>
        </row>
        <row r="710">
          <cell r="A710" t="str">
            <v>T_C-FC-H2O-S4</v>
          </cell>
          <cell r="B710" t="str">
            <v>VAR_cap</v>
          </cell>
          <cell r="C710" t="str">
            <v>-</v>
          </cell>
          <cell r="H710">
            <v>5.5011386514100604E-7</v>
          </cell>
          <cell r="I710">
            <v>6.1251398481832803E-7</v>
          </cell>
          <cell r="J710">
            <v>6.8998541595413602E-7</v>
          </cell>
        </row>
        <row r="711">
          <cell r="A711" t="str">
            <v>T_B_c-ICEDSL-S4</v>
          </cell>
          <cell r="B711" t="str">
            <v>VAR_fout</v>
          </cell>
          <cell r="C711" t="str">
            <v>CO2_T</v>
          </cell>
        </row>
        <row r="712">
          <cell r="A712" t="str">
            <v>T_B_c-ICEDSL-S4</v>
          </cell>
          <cell r="B712" t="str">
            <v>VAR_fout</v>
          </cell>
          <cell r="C712" t="str">
            <v>TPBSc</v>
          </cell>
        </row>
        <row r="713">
          <cell r="A713" t="str">
            <v>T_B_c-ICEDSL-S4</v>
          </cell>
          <cell r="B713" t="str">
            <v>VAR_fin</v>
          </cell>
          <cell r="C713" t="str">
            <v>TDSL</v>
          </cell>
        </row>
        <row r="714">
          <cell r="A714" t="str">
            <v>T_B_c-ICEDSL-S4</v>
          </cell>
          <cell r="B714" t="str">
            <v>VAR_cap</v>
          </cell>
          <cell r="C714" t="str">
            <v>-</v>
          </cell>
        </row>
        <row r="715">
          <cell r="A715" t="str">
            <v>D-T-ELC-HGV</v>
          </cell>
          <cell r="B715" t="str">
            <v>VAR_fout</v>
          </cell>
          <cell r="C715" t="str">
            <v>T-ELC-HGV_BatSTGin</v>
          </cell>
          <cell r="H715">
            <v>3.3339359721552267E-4</v>
          </cell>
          <cell r="I715">
            <v>3.4010352333703557E-4</v>
          </cell>
          <cell r="J715">
            <v>3.4474413669817645E-4</v>
          </cell>
        </row>
        <row r="716">
          <cell r="A716" t="str">
            <v>D-T-ELC-HGV</v>
          </cell>
          <cell r="B716" t="str">
            <v>VAR_fin</v>
          </cell>
          <cell r="C716" t="str">
            <v>TELC</v>
          </cell>
          <cell r="H716">
            <v>3.3339359721552267E-4</v>
          </cell>
          <cell r="I716">
            <v>3.4010352333703557E-4</v>
          </cell>
          <cell r="J716">
            <v>3.4474413669817645E-4</v>
          </cell>
        </row>
        <row r="717">
          <cell r="A717" t="str">
            <v>D-T-ELC-HGV</v>
          </cell>
          <cell r="B717" t="str">
            <v>VAR_ncap</v>
          </cell>
          <cell r="C717" t="str">
            <v>-</v>
          </cell>
          <cell r="H717">
            <v>3.85629880031172E-5</v>
          </cell>
          <cell r="I717">
            <v>2.66945047790307E-5</v>
          </cell>
          <cell r="J717">
            <v>3.7320370079803101E-5</v>
          </cell>
        </row>
        <row r="718">
          <cell r="A718" t="str">
            <v>D-T-ELC-HGV</v>
          </cell>
          <cell r="B718" t="str">
            <v>VAR_cap</v>
          </cell>
          <cell r="C718" t="str">
            <v>-</v>
          </cell>
          <cell r="H718">
            <v>4.3559776236105098E-5</v>
          </cell>
          <cell r="I718">
            <v>5.3032497644579397E-5</v>
          </cell>
          <cell r="J718">
            <v>4.20049523208051E-5</v>
          </cell>
        </row>
        <row r="719">
          <cell r="A719" t="str">
            <v>T_TW-FCLH2O-S3</v>
          </cell>
          <cell r="B719" t="str">
            <v>VAR_fout</v>
          </cell>
          <cell r="C719" t="str">
            <v>TPTWL</v>
          </cell>
          <cell r="H719">
            <v>1.4675379030965974E-5</v>
          </cell>
          <cell r="I719">
            <v>2.1855433564560664E-5</v>
          </cell>
          <cell r="J719">
            <v>2.3190998648480899E-5</v>
          </cell>
        </row>
        <row r="720">
          <cell r="A720" t="str">
            <v>T_TW-FCLH2O-S3</v>
          </cell>
          <cell r="B720" t="str">
            <v>VAR_fin</v>
          </cell>
          <cell r="C720" t="str">
            <v>TH2O</v>
          </cell>
          <cell r="H720">
            <v>8.2621178949470446E-6</v>
          </cell>
          <cell r="I720">
            <v>1.2209808276618016E-5</v>
          </cell>
          <cell r="J720">
            <v>1.2695906106443445E-5</v>
          </cell>
        </row>
        <row r="721">
          <cell r="A721" t="str">
            <v>T_TW-FCLH2O-S3</v>
          </cell>
          <cell r="B721" t="str">
            <v>VAR_ncap</v>
          </cell>
          <cell r="C721" t="str">
            <v>-</v>
          </cell>
          <cell r="H721">
            <v>3.12888319514904E-6</v>
          </cell>
          <cell r="I721">
            <v>2.90871652190817E-6</v>
          </cell>
          <cell r="J721">
            <v>3.2354318239098801E-6</v>
          </cell>
        </row>
        <row r="722">
          <cell r="A722" t="str">
            <v>T_TW-FCLH2O-S3</v>
          </cell>
          <cell r="B722" t="str">
            <v>VAR_cap</v>
          </cell>
          <cell r="C722" t="str">
            <v>-</v>
          </cell>
          <cell r="H722">
            <v>5.6888292214391803E-6</v>
          </cell>
          <cell r="I722">
            <v>8.5975457433473494E-6</v>
          </cell>
          <cell r="J722">
            <v>9.3031092513643797E-6</v>
          </cell>
        </row>
        <row r="723">
          <cell r="A723" t="str">
            <v>D-T-ELC-TW_Bat_S3</v>
          </cell>
          <cell r="B723" t="str">
            <v>VAR_fout</v>
          </cell>
          <cell r="C723" t="str">
            <v>T-ELC-TWSTGin_S3</v>
          </cell>
          <cell r="H723">
            <v>6.6814468111644262E-4</v>
          </cell>
          <cell r="I723">
            <v>5.4358100776675817E-4</v>
          </cell>
          <cell r="J723">
            <v>2.5339378903497763E-4</v>
          </cell>
        </row>
        <row r="724">
          <cell r="A724" t="str">
            <v>D-T-ELC-TW_Bat_S3</v>
          </cell>
          <cell r="B724" t="str">
            <v>VAR_fin</v>
          </cell>
          <cell r="C724" t="str">
            <v>TELC</v>
          </cell>
          <cell r="H724">
            <v>6.6814468111644262E-4</v>
          </cell>
          <cell r="I724">
            <v>5.4358100776675817E-4</v>
          </cell>
          <cell r="J724">
            <v>2.5339378903497763E-4</v>
          </cell>
        </row>
        <row r="725">
          <cell r="A725" t="str">
            <v>D-T-ELC-TW_Bat_S3</v>
          </cell>
          <cell r="B725" t="str">
            <v>VAR_ncap</v>
          </cell>
          <cell r="C725" t="str">
            <v>-</v>
          </cell>
          <cell r="H725">
            <v>2.78856584661767E-5</v>
          </cell>
          <cell r="I725">
            <v>4.38651376135417E-7</v>
          </cell>
          <cell r="J725">
            <v>3.0649227361579001E-7</v>
          </cell>
        </row>
        <row r="726">
          <cell r="A726" t="str">
            <v>D-T-ELC-TW_Bat_S3</v>
          </cell>
          <cell r="B726" t="str">
            <v>VAR_cap</v>
          </cell>
          <cell r="C726" t="str">
            <v>-</v>
          </cell>
          <cell r="H726">
            <v>7.0705898300022903E-5</v>
          </cell>
          <cell r="I726">
            <v>5.7547840504640398E-5</v>
          </cell>
          <cell r="J726">
            <v>2.8228820120882001E-5</v>
          </cell>
        </row>
        <row r="727">
          <cell r="A727" t="str">
            <v>T_TW-FCLH2O-S4</v>
          </cell>
          <cell r="B727" t="str">
            <v>VAR_fout</v>
          </cell>
          <cell r="C727" t="str">
            <v>TPTWL</v>
          </cell>
          <cell r="H727">
            <v>6.3733478648954608E-6</v>
          </cell>
          <cell r="I727">
            <v>1.0070780438042415E-5</v>
          </cell>
          <cell r="J727">
            <v>1.3062462987012013E-5</v>
          </cell>
        </row>
        <row r="728">
          <cell r="A728" t="str">
            <v>T_TW-FCLH2O-S4</v>
          </cell>
          <cell r="B728" t="str">
            <v>VAR_fin</v>
          </cell>
          <cell r="C728" t="str">
            <v>TH2O</v>
          </cell>
          <cell r="H728">
            <v>4.0378980478861143E-6</v>
          </cell>
          <cell r="I728">
            <v>6.3197238333920045E-6</v>
          </cell>
          <cell r="J728">
            <v>8.0522038680928499E-6</v>
          </cell>
        </row>
        <row r="729">
          <cell r="A729" t="str">
            <v>T_TW-FCLH2O-S4</v>
          </cell>
          <cell r="B729" t="str">
            <v>VAR_ncap</v>
          </cell>
          <cell r="C729" t="str">
            <v>-</v>
          </cell>
          <cell r="H729">
            <v>1.46513779768932E-6</v>
          </cell>
          <cell r="I729">
            <v>1.5203100325681099E-6</v>
          </cell>
          <cell r="J729">
            <v>1.6496902524560299E-6</v>
          </cell>
        </row>
        <row r="730">
          <cell r="A730" t="str">
            <v>T_TW-FCLH2O-S4</v>
          </cell>
          <cell r="B730" t="str">
            <v>VAR_cap</v>
          </cell>
          <cell r="C730" t="str">
            <v>-</v>
          </cell>
          <cell r="H730">
            <v>2.5865828324646398E-6</v>
          </cell>
          <cell r="I730">
            <v>4.1068928650327601E-6</v>
          </cell>
          <cell r="J730">
            <v>5.36724946475071E-6</v>
          </cell>
        </row>
        <row r="731">
          <cell r="A731" t="str">
            <v>D-T-ELC-TW_Bat_S4</v>
          </cell>
          <cell r="B731" t="str">
            <v>VAR_fout</v>
          </cell>
          <cell r="C731" t="str">
            <v>T-ELC-TWSTGin_S4</v>
          </cell>
          <cell r="H731">
            <v>6.0822840242603926E-4</v>
          </cell>
          <cell r="I731">
            <v>6.0987589470034426E-4</v>
          </cell>
          <cell r="J731">
            <v>3.849697653909374E-4</v>
          </cell>
        </row>
        <row r="732">
          <cell r="A732" t="str">
            <v>D-T-ELC-TW_Bat_S4</v>
          </cell>
          <cell r="B732" t="str">
            <v>VAR_fin</v>
          </cell>
          <cell r="C732" t="str">
            <v>TELC</v>
          </cell>
          <cell r="H732">
            <v>6.0822840242603926E-4</v>
          </cell>
          <cell r="I732">
            <v>6.0987589470034426E-4</v>
          </cell>
          <cell r="J732">
            <v>3.849697653909374E-4</v>
          </cell>
        </row>
        <row r="733">
          <cell r="A733" t="str">
            <v>D-T-ELC-TW_Bat_S4</v>
          </cell>
          <cell r="B733" t="str">
            <v>VAR_ncap</v>
          </cell>
          <cell r="C733" t="str">
            <v>-</v>
          </cell>
          <cell r="H733">
            <v>2.6709564576221299E-5</v>
          </cell>
          <cell r="I733">
            <v>2.92212536769584E-7</v>
          </cell>
          <cell r="J733">
            <v>9.12854938368115E-7</v>
          </cell>
        </row>
        <row r="734">
          <cell r="A734" t="str">
            <v>D-T-ELC-TW_Bat_S4</v>
          </cell>
          <cell r="B734" t="str">
            <v>VAR_cap</v>
          </cell>
          <cell r="C734" t="str">
            <v>-</v>
          </cell>
          <cell r="H734">
            <v>6.4356108283340606E-5</v>
          </cell>
          <cell r="I734">
            <v>6.4648320820110205E-5</v>
          </cell>
          <cell r="J734">
            <v>4.0838281594865201E-5</v>
          </cell>
        </row>
        <row r="735">
          <cell r="A735" t="str">
            <v>T_B_u-ICENGA-S1</v>
          </cell>
          <cell r="B735" t="str">
            <v>VAR_fout</v>
          </cell>
          <cell r="C735" t="str">
            <v>CO2_T</v>
          </cell>
        </row>
        <row r="736">
          <cell r="A736" t="str">
            <v>T_B_u-ICENGA-S1</v>
          </cell>
          <cell r="B736" t="str">
            <v>VAR_fout</v>
          </cell>
          <cell r="C736" t="str">
            <v>TPBSu</v>
          </cell>
        </row>
        <row r="737">
          <cell r="A737" t="str">
            <v>T_B_u-ICENGA-S1</v>
          </cell>
          <cell r="B737" t="str">
            <v>VAR_fin</v>
          </cell>
          <cell r="C737" t="str">
            <v>TNGA</v>
          </cell>
        </row>
        <row r="738">
          <cell r="A738" t="str">
            <v>T_B_u-ICENGA-S1</v>
          </cell>
          <cell r="B738" t="str">
            <v>VAR_ncap</v>
          </cell>
          <cell r="C738" t="str">
            <v>-</v>
          </cell>
        </row>
        <row r="739">
          <cell r="A739" t="str">
            <v>T_B_u-ICENGA-S1</v>
          </cell>
          <cell r="B739" t="str">
            <v>VAR_cap</v>
          </cell>
          <cell r="C739" t="str">
            <v>-</v>
          </cell>
          <cell r="H739">
            <v>5.1615654303509844E-9</v>
          </cell>
        </row>
        <row r="740">
          <cell r="A740" t="str">
            <v>T_B_u-ICENGA-S2</v>
          </cell>
          <cell r="B740" t="str">
            <v>VAR_fout</v>
          </cell>
          <cell r="C740" t="str">
            <v>CO2_T</v>
          </cell>
        </row>
        <row r="741">
          <cell r="A741" t="str">
            <v>T_B_u-ICENGA-S2</v>
          </cell>
          <cell r="B741" t="str">
            <v>VAR_fout</v>
          </cell>
          <cell r="C741" t="str">
            <v>TPBSu</v>
          </cell>
        </row>
        <row r="742">
          <cell r="A742" t="str">
            <v>T_B_u-ICENGA-S2</v>
          </cell>
          <cell r="B742" t="str">
            <v>VAR_fin</v>
          </cell>
          <cell r="C742" t="str">
            <v>TNGA</v>
          </cell>
        </row>
        <row r="743">
          <cell r="A743" t="str">
            <v>T_B_u-ICENGA-S2</v>
          </cell>
          <cell r="B743" t="str">
            <v>VAR_ncap</v>
          </cell>
          <cell r="C743" t="str">
            <v>-</v>
          </cell>
        </row>
        <row r="744">
          <cell r="A744" t="str">
            <v>T_B_u-ICENGA-S2</v>
          </cell>
          <cell r="B744" t="str">
            <v>VAR_cap</v>
          </cell>
          <cell r="C744" t="str">
            <v>-</v>
          </cell>
          <cell r="H744">
            <v>3.2802365223011842E-9</v>
          </cell>
        </row>
        <row r="745">
          <cell r="A745" t="str">
            <v>T_B_c-ICEDSLEXT</v>
          </cell>
          <cell r="B745" t="str">
            <v>VAR_fout</v>
          </cell>
          <cell r="C745" t="str">
            <v>CO2_T</v>
          </cell>
        </row>
        <row r="746">
          <cell r="A746" t="str">
            <v>T_B_c-ICEDSLEXT</v>
          </cell>
          <cell r="B746" t="str">
            <v>VAR_fout</v>
          </cell>
          <cell r="C746" t="str">
            <v>TPBSc</v>
          </cell>
        </row>
        <row r="747">
          <cell r="A747" t="str">
            <v>T_B_c-ICEDSLEXT</v>
          </cell>
          <cell r="B747" t="str">
            <v>VAR_fin</v>
          </cell>
          <cell r="C747" t="str">
            <v>TDSL</v>
          </cell>
        </row>
        <row r="748">
          <cell r="A748" t="str">
            <v>T_B_c-ICEDSLEXT</v>
          </cell>
          <cell r="B748" t="str">
            <v>VAR_cap</v>
          </cell>
          <cell r="C748" t="str">
            <v>-</v>
          </cell>
        </row>
        <row r="749">
          <cell r="A749" t="str">
            <v>T_B_u-ICENGA-S3</v>
          </cell>
          <cell r="B749" t="str">
            <v>VAR_fout</v>
          </cell>
          <cell r="C749" t="str">
            <v>CO2_T</v>
          </cell>
        </row>
        <row r="750">
          <cell r="A750" t="str">
            <v>T_B_u-ICENGA-S3</v>
          </cell>
          <cell r="B750" t="str">
            <v>VAR_fout</v>
          </cell>
          <cell r="C750" t="str">
            <v>TPBSu</v>
          </cell>
        </row>
        <row r="751">
          <cell r="A751" t="str">
            <v>T_B_u-ICENGA-S3</v>
          </cell>
          <cell r="B751" t="str">
            <v>VAR_fin</v>
          </cell>
          <cell r="C751" t="str">
            <v>TNGA</v>
          </cell>
        </row>
        <row r="752">
          <cell r="A752" t="str">
            <v>T_B_u-ICENGA-S3</v>
          </cell>
          <cell r="B752" t="str">
            <v>VAR_ncap</v>
          </cell>
          <cell r="C752" t="str">
            <v>-</v>
          </cell>
        </row>
        <row r="753">
          <cell r="A753" t="str">
            <v>T_B_u-ICENGA-S3</v>
          </cell>
          <cell r="B753" t="str">
            <v>VAR_cap</v>
          </cell>
          <cell r="C753" t="str">
            <v>-</v>
          </cell>
        </row>
        <row r="754">
          <cell r="A754" t="str">
            <v>T_B_u-ICENGA-S4</v>
          </cell>
          <cell r="B754" t="str">
            <v>VAR_cap</v>
          </cell>
          <cell r="C754" t="str">
            <v>-</v>
          </cell>
          <cell r="J754">
            <v>-1.84606092068454E-9</v>
          </cell>
        </row>
        <row r="755">
          <cell r="A755"/>
          <cell r="B755"/>
          <cell r="C755"/>
        </row>
        <row r="756">
          <cell r="A756"/>
          <cell r="B756"/>
          <cell r="C756"/>
        </row>
        <row r="757">
          <cell r="A757"/>
          <cell r="B757"/>
          <cell r="C757"/>
        </row>
        <row r="758">
          <cell r="A758"/>
          <cell r="B758"/>
          <cell r="C758"/>
        </row>
        <row r="759">
          <cell r="A759"/>
          <cell r="B759"/>
          <cell r="C759"/>
        </row>
        <row r="760">
          <cell r="A760"/>
          <cell r="B760"/>
          <cell r="C760"/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56.649754775246201</v>
          </cell>
          <cell r="G9">
            <v>64.974522088280423</v>
          </cell>
          <cell r="H9">
            <v>82.190778749990272</v>
          </cell>
        </row>
        <row r="28">
          <cell r="F28">
            <v>0</v>
          </cell>
          <cell r="G28">
            <v>8.7044595539577418E-4</v>
          </cell>
          <cell r="H28">
            <v>4.4460219529112565E-3</v>
          </cell>
        </row>
      </sheetData>
      <sheetData sheetId="56"/>
      <sheetData sheetId="57"/>
      <sheetData sheetId="58">
        <row r="14">
          <cell r="F14">
            <v>62.884322289221039</v>
          </cell>
          <cell r="G14">
            <v>62.88432313905129</v>
          </cell>
          <cell r="H14">
            <v>87.488526549622236</v>
          </cell>
        </row>
        <row r="15">
          <cell r="F15">
            <v>71.044264689717764</v>
          </cell>
          <cell r="G15">
            <v>72.128987484440245</v>
          </cell>
          <cell r="H15">
            <v>74.298727753074118</v>
          </cell>
        </row>
        <row r="16">
          <cell r="F16">
            <v>63.378495368763765</v>
          </cell>
          <cell r="G16">
            <v>62.293772492353952</v>
          </cell>
          <cell r="H16">
            <v>60.124031879381107</v>
          </cell>
        </row>
        <row r="17">
          <cell r="F17">
            <v>12.538521671663258</v>
          </cell>
          <cell r="G17">
            <v>12.557620707625034</v>
          </cell>
          <cell r="H17">
            <v>12.596478546938336</v>
          </cell>
        </row>
        <row r="18">
          <cell r="F18">
            <v>2.5783477115648787E-4</v>
          </cell>
          <cell r="G18">
            <v>1.6050098544631721E-4</v>
          </cell>
          <cell r="H18">
            <v>4.9370567196468321E-4</v>
          </cell>
        </row>
        <row r="19">
          <cell r="F19">
            <v>7.4918604646762557</v>
          </cell>
          <cell r="G19">
            <v>7.6680260611045545</v>
          </cell>
          <cell r="H19">
            <v>8.0332768964586556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5.8878249559331426E-4</v>
          </cell>
          <cell r="H21">
            <v>5.9207961521121364</v>
          </cell>
        </row>
        <row r="22">
          <cell r="F22">
            <v>6.9264626218754045E-4</v>
          </cell>
          <cell r="G22">
            <v>2.4362720815747439E-4</v>
          </cell>
          <cell r="H22">
            <v>1.5749181866840636E-3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1.5447643830897655E-3</v>
          </cell>
          <cell r="G24">
            <v>6.7003417132125039E-4</v>
          </cell>
          <cell r="H24">
            <v>1.3057709754155365E-3</v>
          </cell>
        </row>
        <row r="25">
          <cell r="F25">
            <v>1.004274890904393</v>
          </cell>
          <cell r="G25">
            <v>1.0606200199151909</v>
          </cell>
          <cell r="H25">
            <v>1.7004151231163799E-2</v>
          </cell>
        </row>
        <row r="26">
          <cell r="F26">
            <v>1.3956817717334145</v>
          </cell>
          <cell r="G26">
            <v>1.3952703140463616</v>
          </cell>
          <cell r="H26">
            <v>1.3927571768692071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1.2291912048946946E-4</v>
          </cell>
          <cell r="G28">
            <v>8.1580437047459477E-5</v>
          </cell>
          <cell r="H28">
            <v>1.2507215195163712E-4</v>
          </cell>
        </row>
        <row r="29">
          <cell r="F29">
            <v>0</v>
          </cell>
          <cell r="G29">
            <v>5.4716864673696203E-3</v>
          </cell>
          <cell r="H29">
            <v>0.53782047806045374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1.2804644885137608E-4</v>
          </cell>
          <cell r="H32">
            <v>6.6437604934575865E-4</v>
          </cell>
        </row>
        <row r="33">
          <cell r="F33">
            <v>0.87543233236874141</v>
          </cell>
          <cell r="G33">
            <v>0.87543265782720092</v>
          </cell>
          <cell r="H33">
            <v>0.8754315673080405</v>
          </cell>
        </row>
        <row r="34">
          <cell r="F34">
            <v>0.23924282715248987</v>
          </cell>
          <cell r="G34">
            <v>0.23948049740786972</v>
          </cell>
          <cell r="H34">
            <v>2.2557570964643638E-2</v>
          </cell>
        </row>
        <row r="35">
          <cell r="F35">
            <v>12.732508415673539</v>
          </cell>
          <cell r="G35">
            <v>13.381994452594038</v>
          </cell>
          <cell r="H35">
            <v>14.782047109859183</v>
          </cell>
        </row>
        <row r="36">
          <cell r="F36">
            <v>4.6112489399037866</v>
          </cell>
          <cell r="G36">
            <v>4.8946423703026545</v>
          </cell>
          <cell r="H36">
            <v>5.5147490394225933</v>
          </cell>
        </row>
        <row r="37">
          <cell r="F37">
            <v>4.0175690974435092</v>
          </cell>
          <cell r="G37">
            <v>4.2225056370941676</v>
          </cell>
          <cell r="H37">
            <v>4.6642732180146895</v>
          </cell>
        </row>
        <row r="38">
          <cell r="F38">
            <v>11.285465388912652</v>
          </cell>
          <cell r="G38">
            <v>11.861137594039064</v>
          </cell>
          <cell r="H38">
            <v>13.102074956898365</v>
          </cell>
        </row>
        <row r="39">
          <cell r="F39">
            <v>0.5506362745448754</v>
          </cell>
          <cell r="G39">
            <v>9.6396573723553397E-2</v>
          </cell>
          <cell r="H39">
            <v>2.484249820108515E-2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0.17115073184185231</v>
          </cell>
          <cell r="G41">
            <v>1.6421454979831902E-2</v>
          </cell>
          <cell r="H41">
            <v>1.9462311574267709E-2</v>
          </cell>
        </row>
        <row r="42">
          <cell r="F42">
            <v>2.5803181120598007</v>
          </cell>
          <cell r="G42">
            <v>3.4806515082945415</v>
          </cell>
          <cell r="H42">
            <v>4.5240111246288102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2.6448459928173215E-4</v>
          </cell>
          <cell r="G44">
            <v>1.0446755677402852E-4</v>
          </cell>
          <cell r="H44">
            <v>9.8618212051144259E-5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2.177530542550961E-4</v>
          </cell>
          <cell r="G47">
            <v>1.8588884496890801E-4</v>
          </cell>
          <cell r="H47">
            <v>3.6272912648002117E-4</v>
          </cell>
        </row>
        <row r="48">
          <cell r="F48">
            <v>4.8900016065540281E-3</v>
          </cell>
          <cell r="G48">
            <v>1.8231869944314288E-3</v>
          </cell>
          <cell r="H48">
            <v>3.3168848385850655E-4</v>
          </cell>
        </row>
        <row r="49">
          <cell r="F49">
            <v>1.0877434885646603E-4</v>
          </cell>
          <cell r="G49">
            <v>1.1482880449995459E-4</v>
          </cell>
          <cell r="H49">
            <v>1.0192137364530988E-4</v>
          </cell>
        </row>
        <row r="50">
          <cell r="F50">
            <v>2.0859976393309231E-4</v>
          </cell>
          <cell r="G50">
            <v>1.4547132526385189E-4</v>
          </cell>
          <cell r="H50">
            <v>1.7458683198582565E-4</v>
          </cell>
        </row>
        <row r="51">
          <cell r="F51">
            <v>1.2090947870526225</v>
          </cell>
          <cell r="G51">
            <v>1.777323491626098</v>
          </cell>
          <cell r="H51">
            <v>0.94904691196363899</v>
          </cell>
        </row>
        <row r="52">
          <cell r="F52">
            <v>6.8166042140631322E-4</v>
          </cell>
          <cell r="G52">
            <v>1.0210729244368628E-3</v>
          </cell>
          <cell r="H52">
            <v>7.7663995291989141E-4</v>
          </cell>
        </row>
        <row r="53">
          <cell r="F53">
            <v>4.2099166730066634E-4</v>
          </cell>
          <cell r="G53">
            <v>2.1047490869844168E-4</v>
          </cell>
          <cell r="H53">
            <v>4.7467635519091611E-4</v>
          </cell>
        </row>
        <row r="54">
          <cell r="F54">
            <v>1.1059382878509092</v>
          </cell>
          <cell r="G54">
            <v>1.1059382607058463</v>
          </cell>
          <cell r="H54">
            <v>1.1059382100901844</v>
          </cell>
        </row>
        <row r="55">
          <cell r="F55">
            <v>4.3020662229307778</v>
          </cell>
          <cell r="G55">
            <v>4.0442530012483804</v>
          </cell>
          <cell r="H55">
            <v>2.3390443955564736E-4</v>
          </cell>
        </row>
        <row r="56">
          <cell r="F56">
            <v>2.3071583948724853E-4</v>
          </cell>
          <cell r="G56">
            <v>1.2132645780387389E-4</v>
          </cell>
          <cell r="H56">
            <v>8.804073504807749E-5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3.6493273576860099E-4</v>
          </cell>
          <cell r="G58">
            <v>8.1313061543028195E-4</v>
          </cell>
          <cell r="H58">
            <v>4.5839461067679135E-4</v>
          </cell>
        </row>
        <row r="70">
          <cell r="F70">
            <v>3.2660928398461052E-4</v>
          </cell>
          <cell r="G70">
            <v>1.4230223170760565E-4</v>
          </cell>
          <cell r="H70">
            <v>3.3801584032317638E-4</v>
          </cell>
        </row>
        <row r="71">
          <cell r="F71">
            <v>5.5959467158985688E-3</v>
          </cell>
          <cell r="G71">
            <v>5.5985220917045882E-3</v>
          </cell>
          <cell r="H71">
            <v>5.3961022161024504E-2</v>
          </cell>
        </row>
        <row r="72">
          <cell r="F72">
            <v>1.6159619383630655E-2</v>
          </cell>
          <cell r="G72">
            <v>2.6686731659615018E-3</v>
          </cell>
          <cell r="H72">
            <v>2.5349042133521429E-2</v>
          </cell>
        </row>
        <row r="73">
          <cell r="F73">
            <v>6.0134724632375146E-2</v>
          </cell>
          <cell r="G73">
            <v>7.6581185220922655E-3</v>
          </cell>
          <cell r="H73">
            <v>9.3174103387715701E-2</v>
          </cell>
        </row>
        <row r="74">
          <cell r="F74">
            <v>7.4295115147408247E-2</v>
          </cell>
          <cell r="G74">
            <v>4.9515463346906079E-3</v>
          </cell>
          <cell r="H74">
            <v>0.11258053310957666</v>
          </cell>
        </row>
        <row r="75">
          <cell r="F75">
            <v>2.8224509375309195E-2</v>
          </cell>
          <cell r="G75">
            <v>4.4179833975062912E-3</v>
          </cell>
          <cell r="H75">
            <v>4.2602554780740702E-2</v>
          </cell>
        </row>
        <row r="76">
          <cell r="F76">
            <v>8.5580509502369992E-2</v>
          </cell>
          <cell r="G76">
            <v>1.7990152228787332E-2</v>
          </cell>
          <cell r="H76">
            <v>0.13666388383268627</v>
          </cell>
        </row>
        <row r="90">
          <cell r="F90">
            <v>0</v>
          </cell>
          <cell r="G90">
            <v>1.428251859527679E-5</v>
          </cell>
          <cell r="H90">
            <v>1.432104701526869E-5</v>
          </cell>
        </row>
        <row r="91">
          <cell r="F91">
            <v>3.2860741427793772E-3</v>
          </cell>
          <cell r="G91">
            <v>1.4176145339661974E-3</v>
          </cell>
          <cell r="H91">
            <v>2.7332748860722823E-3</v>
          </cell>
        </row>
        <row r="92">
          <cell r="F92">
            <v>2.6263744189015412</v>
          </cell>
          <cell r="G92">
            <v>2.7737251117637851</v>
          </cell>
          <cell r="H92">
            <v>0.59323687954291482</v>
          </cell>
        </row>
        <row r="93">
          <cell r="F93">
            <v>12.342947729491375</v>
          </cell>
          <cell r="G93">
            <v>12.034787737752353</v>
          </cell>
          <cell r="H93">
            <v>11.399073086404607</v>
          </cell>
        </row>
        <row r="94">
          <cell r="F94">
            <v>6.3215547680298492E-4</v>
          </cell>
          <cell r="G94">
            <v>4.1955653338693479E-4</v>
          </cell>
          <cell r="H94">
            <v>6.4322821003699087E-4</v>
          </cell>
        </row>
        <row r="95">
          <cell r="F95">
            <v>0</v>
          </cell>
          <cell r="G95">
            <v>6.9764002458962632E-3</v>
          </cell>
          <cell r="H95">
            <v>0.71261213343010155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2.405538322419988</v>
          </cell>
          <cell r="G97">
            <v>2.7737960317643213</v>
          </cell>
          <cell r="H97">
            <v>1.5757152652349358</v>
          </cell>
        </row>
        <row r="98">
          <cell r="F98">
            <v>0.90177485776551836</v>
          </cell>
          <cell r="G98">
            <v>0.90177445495425945</v>
          </cell>
          <cell r="H98">
            <v>0.90177457192155874</v>
          </cell>
        </row>
        <row r="99">
          <cell r="F99">
            <v>1.7127592526008875</v>
          </cell>
          <cell r="G99">
            <v>1.7128081048398287</v>
          </cell>
          <cell r="H99">
            <v>7.5449444542603423</v>
          </cell>
        </row>
        <row r="100">
          <cell r="F100">
            <v>5.1972540912594829E-5</v>
          </cell>
          <cell r="G100">
            <v>8.4416100605955261E-5</v>
          </cell>
          <cell r="H100">
            <v>4.0080094022231125E-5</v>
          </cell>
        </row>
        <row r="101">
          <cell r="F101">
            <v>0.52542766437690713</v>
          </cell>
          <cell r="G101">
            <v>0.40656643687840527</v>
          </cell>
          <cell r="H101">
            <v>0.2434276139704214</v>
          </cell>
        </row>
        <row r="102">
          <cell r="F102">
            <v>5.923234484476753E-6</v>
          </cell>
          <cell r="G102">
            <v>5.924093783799936E-6</v>
          </cell>
          <cell r="H102">
            <v>5.9924029522475574E-6</v>
          </cell>
        </row>
        <row r="103">
          <cell r="F103">
            <v>0.89615579738237194</v>
          </cell>
          <cell r="G103">
            <v>0.10917953991676103</v>
          </cell>
          <cell r="H103">
            <v>2.7457498011725794E-2</v>
          </cell>
        </row>
        <row r="104">
          <cell r="F104">
            <v>0.84856439020074048</v>
          </cell>
          <cell r="G104">
            <v>3.6401767078845015E-2</v>
          </cell>
          <cell r="H104">
            <v>4.3142494597007697E-2</v>
          </cell>
        </row>
        <row r="105">
          <cell r="F105">
            <v>5.4583652370495894</v>
          </cell>
          <cell r="G105">
            <v>7.3629166521615481</v>
          </cell>
          <cell r="H105">
            <v>9.570023532868646</v>
          </cell>
        </row>
        <row r="106">
          <cell r="F106">
            <v>1.5608386056116862E-3</v>
          </cell>
          <cell r="G106">
            <v>5.2913224227643836E-4</v>
          </cell>
          <cell r="H106">
            <v>3.3453736298219697E-4</v>
          </cell>
        </row>
        <row r="107">
          <cell r="F107">
            <v>1.0338275741010303E-4</v>
          </cell>
          <cell r="G107">
            <v>8.3564710123637547E-5</v>
          </cell>
          <cell r="H107">
            <v>1.4636438436913153E-4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1.1316229464779882E-2</v>
          </cell>
          <cell r="G109">
            <v>4.3376113688245168E-3</v>
          </cell>
          <cell r="H109">
            <v>9.2440738463841067E-4</v>
          </cell>
        </row>
        <row r="110">
          <cell r="F110">
            <v>5.5149430938819879E-4</v>
          </cell>
          <cell r="G110">
            <v>3.7648203481897543E-4</v>
          </cell>
          <cell r="H110">
            <v>4.3390351810800813E-4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2.4698893664009618</v>
          </cell>
          <cell r="G112">
            <v>3.5859481085343941</v>
          </cell>
          <cell r="H112">
            <v>1.869032687318162</v>
          </cell>
        </row>
        <row r="113">
          <cell r="F113">
            <v>1.1198793120313299E-3</v>
          </cell>
          <cell r="G113">
            <v>5.5988399358206206E-4</v>
          </cell>
          <cell r="H113">
            <v>1.2626858709512065E-3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1.1649095626113581</v>
          </cell>
          <cell r="G115">
            <v>1.0059070253097822</v>
          </cell>
          <cell r="H115">
            <v>1.0059069792722668</v>
          </cell>
        </row>
        <row r="116">
          <cell r="F116">
            <v>6.0929871788388006</v>
          </cell>
          <cell r="G116">
            <v>6.066379501872567</v>
          </cell>
          <cell r="H116">
            <v>3.5085665933347126E-4</v>
          </cell>
        </row>
        <row r="117">
          <cell r="F117">
            <v>3.607761564448145E-4</v>
          </cell>
          <cell r="G117">
            <v>1.8554234944144751E-4</v>
          </cell>
          <cell r="H117">
            <v>1.2929627653304485E-4</v>
          </cell>
        </row>
        <row r="118">
          <cell r="F118">
            <v>1.0836247070111577E-4</v>
          </cell>
          <cell r="G118">
            <v>2.3969755483192718E-4</v>
          </cell>
          <cell r="H118">
            <v>1.3285439347604191E-4</v>
          </cell>
        </row>
        <row r="119">
          <cell r="F119">
            <v>0</v>
          </cell>
          <cell r="G119">
            <v>0</v>
          </cell>
          <cell r="H119">
            <v>0</v>
          </cell>
        </row>
        <row r="123">
          <cell r="F123">
            <v>5.558172980119048</v>
          </cell>
          <cell r="G123">
            <v>5.8416955807006952</v>
          </cell>
          <cell r="H123">
            <v>6.4528660898124457</v>
          </cell>
        </row>
      </sheetData>
      <sheetData sheetId="59">
        <row r="13">
          <cell r="F13">
            <v>15.673152036098301</v>
          </cell>
          <cell r="G13">
            <v>15.697025790133242</v>
          </cell>
          <cell r="H13">
            <v>15.745598063808321</v>
          </cell>
        </row>
        <row r="14">
          <cell r="F14">
            <v>190.50729033456849</v>
          </cell>
          <cell r="G14">
            <v>190.50731732366509</v>
          </cell>
          <cell r="H14">
            <v>278.03323812994256</v>
          </cell>
        </row>
        <row r="15">
          <cell r="F15">
            <v>71.044264689717764</v>
          </cell>
          <cell r="G15">
            <v>72.128987484440245</v>
          </cell>
          <cell r="H15">
            <v>74.298727753074118</v>
          </cell>
        </row>
        <row r="16">
          <cell r="F16">
            <v>63.378495368763765</v>
          </cell>
          <cell r="G16">
            <v>62.293772492353952</v>
          </cell>
          <cell r="H16">
            <v>60.124031879381107</v>
          </cell>
        </row>
        <row r="18">
          <cell r="F18">
            <v>8.6492530958187631E-4</v>
          </cell>
          <cell r="G18">
            <v>5.2164795103538876E-4</v>
          </cell>
          <cell r="H18">
            <v>1.564441169640462E-3</v>
          </cell>
        </row>
        <row r="19">
          <cell r="F19">
            <v>20.958776674695443</v>
          </cell>
          <cell r="G19">
            <v>21.451606915022793</v>
          </cell>
          <cell r="H19">
            <v>22.473410607780629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1.0284252846568869E-3</v>
          </cell>
          <cell r="H21">
            <v>9.4355319360293795</v>
          </cell>
        </row>
        <row r="22">
          <cell r="F22">
            <v>1.7681863537931536E-3</v>
          </cell>
          <cell r="G22">
            <v>6.7036463258350533E-4</v>
          </cell>
          <cell r="H22">
            <v>3.7201904287126638E-3</v>
          </cell>
          <cell r="P22">
            <v>5.5816210729901918</v>
          </cell>
          <cell r="Q22">
            <v>5.6974100700968853</v>
          </cell>
          <cell r="R22">
            <v>4.3583876077447954</v>
          </cell>
        </row>
        <row r="23">
          <cell r="F23">
            <v>0</v>
          </cell>
          <cell r="G23">
            <v>2.1113350501544508E-5</v>
          </cell>
          <cell r="H23">
            <v>6.5429713333101395E-5</v>
          </cell>
          <cell r="P23">
            <v>6.5058247419112411E-2</v>
          </cell>
          <cell r="Q23">
            <v>2.8196235797126611E-2</v>
          </cell>
          <cell r="R23">
            <v>2.2582577708740361E-2</v>
          </cell>
        </row>
        <row r="24">
          <cell r="F24">
            <v>6.3119681947236767E-3</v>
          </cell>
          <cell r="G24">
            <v>2.7340546550503509E-3</v>
          </cell>
          <cell r="H24">
            <v>5.311221248111923E-3</v>
          </cell>
        </row>
        <row r="25">
          <cell r="F25">
            <v>3.4551971581347485</v>
          </cell>
          <cell r="G25">
            <v>3.4634071684781094</v>
          </cell>
          <cell r="H25">
            <v>5.5590175186618865E-2</v>
          </cell>
        </row>
        <row r="26">
          <cell r="F26">
            <v>37.284461044398356</v>
          </cell>
          <cell r="G26">
            <v>37.067878039827477</v>
          </cell>
          <cell r="H26">
            <v>36.59878549322147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1.2016010340974745E-3</v>
          </cell>
          <cell r="G28">
            <v>7.6001245368518134E-4</v>
          </cell>
          <cell r="H28">
            <v>1.2027717477890842E-3</v>
          </cell>
        </row>
        <row r="29">
          <cell r="F29">
            <v>0</v>
          </cell>
          <cell r="G29">
            <v>1.3679216168424043E-2</v>
          </cell>
          <cell r="H29">
            <v>1.3445511951511353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1.9577437558714795E-5</v>
          </cell>
          <cell r="H31">
            <v>5.8992472237913914E-5</v>
          </cell>
        </row>
        <row r="32">
          <cell r="F32">
            <v>0</v>
          </cell>
          <cell r="G32">
            <v>8.5364299234250737E-4</v>
          </cell>
          <cell r="H32">
            <v>4.4291736623050578E-3</v>
          </cell>
        </row>
        <row r="33">
          <cell r="F33">
            <v>0.87543233236874141</v>
          </cell>
          <cell r="G33">
            <v>0.87543265782720092</v>
          </cell>
          <cell r="H33">
            <v>0.8754315673080405</v>
          </cell>
        </row>
        <row r="34">
          <cell r="F34">
            <v>0.23924282715248987</v>
          </cell>
          <cell r="G34">
            <v>0.23948049740786972</v>
          </cell>
          <cell r="H34">
            <v>2.2557570964643638E-2</v>
          </cell>
        </row>
        <row r="35">
          <cell r="F35">
            <v>12.732508415673539</v>
          </cell>
          <cell r="G35">
            <v>13.381994452594038</v>
          </cell>
          <cell r="H35">
            <v>14.782047109859183</v>
          </cell>
        </row>
        <row r="36">
          <cell r="F36">
            <v>4.6112489399037866</v>
          </cell>
          <cell r="G36">
            <v>4.8946423703026545</v>
          </cell>
          <cell r="H36">
            <v>5.5147490394225933</v>
          </cell>
        </row>
        <row r="37">
          <cell r="F37">
            <v>4.0175690974435092</v>
          </cell>
          <cell r="G37">
            <v>4.2225056370941676</v>
          </cell>
          <cell r="H37">
            <v>4.6642732180146895</v>
          </cell>
        </row>
        <row r="38">
          <cell r="F38">
            <v>11.285465388912652</v>
          </cell>
          <cell r="G38">
            <v>11.861137594039064</v>
          </cell>
          <cell r="H38">
            <v>13.102074956898365</v>
          </cell>
        </row>
        <row r="39">
          <cell r="F39">
            <v>1.5295995433561076</v>
          </cell>
          <cell r="G39">
            <v>0.26907461361330998</v>
          </cell>
          <cell r="H39">
            <v>7.0457911253651181E-2</v>
          </cell>
        </row>
        <row r="40">
          <cell r="F40">
            <v>0</v>
          </cell>
          <cell r="G40">
            <v>1.9536017493100461E-5</v>
          </cell>
          <cell r="H40">
            <v>4.1425711131021789E-5</v>
          </cell>
        </row>
        <row r="41">
          <cell r="F41">
            <v>0.64980924967550091</v>
          </cell>
          <cell r="G41">
            <v>6.2498930936004102E-2</v>
          </cell>
          <cell r="H41">
            <v>7.5193953242470191E-2</v>
          </cell>
        </row>
        <row r="42">
          <cell r="F42">
            <v>7.4616905425047317</v>
          </cell>
          <cell r="G42">
            <v>9.8576026590428718</v>
          </cell>
          <cell r="H42">
            <v>12.304376115431268</v>
          </cell>
        </row>
        <row r="43">
          <cell r="F43">
            <v>0</v>
          </cell>
          <cell r="G43">
            <v>1.9541322958935716E-5</v>
          </cell>
          <cell r="H43">
            <v>5.8745827365306462E-5</v>
          </cell>
        </row>
        <row r="44">
          <cell r="F44">
            <v>4.2677632287855061E-3</v>
          </cell>
          <cell r="G44">
            <v>1.6857041907621393E-3</v>
          </cell>
          <cell r="H44">
            <v>1.5913182855388846E-3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B47">
            <v>0</v>
          </cell>
        </row>
        <row r="48">
          <cell r="F48">
            <v>1.8368281514432164E-2</v>
          </cell>
          <cell r="G48">
            <v>7.1803801921197802E-3</v>
          </cell>
          <cell r="H48">
            <v>1.5781137721220845E-3</v>
          </cell>
        </row>
        <row r="49">
          <cell r="F49">
            <v>2.5296360199178149E-4</v>
          </cell>
          <cell r="G49">
            <v>2.6097455568171502E-4</v>
          </cell>
          <cell r="H49">
            <v>2.2649194143402194E-4</v>
          </cell>
        </row>
        <row r="50">
          <cell r="F50">
            <v>1.0307674487875715E-3</v>
          </cell>
          <cell r="G50">
            <v>6.579338078718537E-4</v>
          </cell>
          <cell r="H50">
            <v>8.9463781795508191E-4</v>
          </cell>
        </row>
        <row r="51">
          <cell r="F51">
            <v>4.0023732182422131</v>
          </cell>
          <cell r="G51">
            <v>5.8324608660503765</v>
          </cell>
          <cell r="H51">
            <v>3.0623140388303889</v>
          </cell>
        </row>
        <row r="52">
          <cell r="F52">
            <v>1.5852567939681705E-3</v>
          </cell>
          <cell r="G52">
            <v>2.3206202828110509E-3</v>
          </cell>
          <cell r="H52">
            <v>1.725866562044203E-3</v>
          </cell>
        </row>
        <row r="53">
          <cell r="F53">
            <v>1.7580399056009474E-3</v>
          </cell>
          <cell r="G53">
            <v>8.6301776398651413E-4</v>
          </cell>
          <cell r="H53">
            <v>1.8991023392072111E-3</v>
          </cell>
        </row>
        <row r="54">
          <cell r="F54">
            <v>2.9902037367918672</v>
          </cell>
          <cell r="G54">
            <v>2.9494347160453263</v>
          </cell>
          <cell r="H54">
            <v>2.8712695688230414</v>
          </cell>
        </row>
        <row r="55">
          <cell r="F55">
            <v>11.951678248989555</v>
          </cell>
          <cell r="G55">
            <v>11.234827538677116</v>
          </cell>
          <cell r="H55">
            <v>8.8783166638117935E-4</v>
          </cell>
        </row>
        <row r="56">
          <cell r="F56">
            <v>7.7497608738914651E-4</v>
          </cell>
          <cell r="G56">
            <v>3.9540666372721924E-4</v>
          </cell>
          <cell r="H56">
            <v>3.5811463498836525E-4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6.0339412703103873E-4</v>
          </cell>
          <cell r="G58">
            <v>1.3331262607701271E-3</v>
          </cell>
          <cell r="H58">
            <v>7.3942662326552746E-4</v>
          </cell>
        </row>
        <row r="63">
          <cell r="F63">
            <v>4.6706604905236344E-4</v>
          </cell>
          <cell r="G63">
            <v>2.0360969127186776E-4</v>
          </cell>
          <cell r="H63">
            <v>4.833723737155549E-4</v>
          </cell>
        </row>
        <row r="64">
          <cell r="F64">
            <v>6.4542474168089682E-3</v>
          </cell>
          <cell r="G64">
            <v>6.4572091432789852E-3</v>
          </cell>
          <cell r="H64">
            <v>6.2236063805168863E-2</v>
          </cell>
        </row>
        <row r="65">
          <cell r="F65">
            <v>1.8070313839190826E-2</v>
          </cell>
          <cell r="G65">
            <v>2.9843251957541619E-3</v>
          </cell>
          <cell r="H65">
            <v>2.8346111264197022E-2</v>
          </cell>
        </row>
        <row r="66">
          <cell r="F66">
            <v>6.6501027492663192E-2</v>
          </cell>
          <cell r="G66">
            <v>8.4689984642919245E-3</v>
          </cell>
          <cell r="H66">
            <v>0.10303820521762622</v>
          </cell>
        </row>
        <row r="67">
          <cell r="F67">
            <v>8.2160658036914497E-2</v>
          </cell>
          <cell r="G67">
            <v>5.4760504483667739E-3</v>
          </cell>
          <cell r="H67">
            <v>0.12449930288499605</v>
          </cell>
        </row>
        <row r="68">
          <cell r="F68">
            <v>3.1212793721081829E-2</v>
          </cell>
          <cell r="G68">
            <v>4.8860027021013913E-3</v>
          </cell>
          <cell r="H68">
            <v>4.7113120130550926E-2</v>
          </cell>
        </row>
        <row r="69">
          <cell r="F69">
            <v>9.4640622814644679E-2</v>
          </cell>
          <cell r="G69">
            <v>1.9894831048273613E-2</v>
          </cell>
          <cell r="H69">
            <v>0.15113200535115834</v>
          </cell>
        </row>
        <row r="90">
          <cell r="F90">
            <v>2.815289618690735</v>
          </cell>
          <cell r="G90">
            <v>3.2462751059961037</v>
          </cell>
          <cell r="H90">
            <v>1.8441172966912833</v>
          </cell>
        </row>
        <row r="91">
          <cell r="F91">
            <v>1.1839507374257026</v>
          </cell>
          <cell r="G91">
            <v>1.1839502085701004</v>
          </cell>
          <cell r="H91">
            <v>1.183950362137832</v>
          </cell>
        </row>
        <row r="92">
          <cell r="F92">
            <v>0.85637962630044373</v>
          </cell>
          <cell r="G92">
            <v>0.85640405241991435</v>
          </cell>
          <cell r="H92">
            <v>0.28137070514899742</v>
          </cell>
        </row>
        <row r="93">
          <cell r="F93">
            <v>6.0825368494238251E-5</v>
          </cell>
          <cell r="G93">
            <v>9.8795254879670719E-5</v>
          </cell>
          <cell r="H93">
            <v>4.6907202252933134E-5</v>
          </cell>
        </row>
        <row r="94">
          <cell r="F94">
            <v>0.75061094910986781</v>
          </cell>
          <cell r="G94">
            <v>0.58080919554057953</v>
          </cell>
          <cell r="H94">
            <v>0.34775373424345873</v>
          </cell>
        </row>
        <row r="95">
          <cell r="F95">
            <v>1.1846468968953503E-5</v>
          </cell>
          <cell r="G95">
            <v>1.1848187567599875E-5</v>
          </cell>
          <cell r="H95">
            <v>1.1984805904495118E-5</v>
          </cell>
        </row>
        <row r="96">
          <cell r="F96">
            <v>0</v>
          </cell>
          <cell r="G96">
            <v>1.6802963053266823E-5</v>
          </cell>
          <cell r="H96">
            <v>1.6848290606198463E-5</v>
          </cell>
        </row>
        <row r="97">
          <cell r="F97">
            <v>1.8527243267063493</v>
          </cell>
          <cell r="G97">
            <v>1.9472318602335668</v>
          </cell>
          <cell r="H97">
            <v>2.1509553632708176</v>
          </cell>
        </row>
      </sheetData>
      <sheetData sheetId="60">
        <row r="14">
          <cell r="F14">
            <v>2.3635370829806872</v>
          </cell>
          <cell r="G14">
            <v>2.3635370957189608</v>
          </cell>
          <cell r="H14">
            <v>3.5751165393749051</v>
          </cell>
        </row>
        <row r="15">
          <cell r="F15">
            <v>7.4149076322896859</v>
          </cell>
          <cell r="G15">
            <v>7.4149079285456683</v>
          </cell>
          <cell r="H15">
            <v>7.6440348636985851</v>
          </cell>
        </row>
        <row r="16">
          <cell r="F16">
            <v>4.8635497666127003</v>
          </cell>
          <cell r="G16">
            <v>4.8635497848263851</v>
          </cell>
          <cell r="H16">
            <v>4.863549859195559</v>
          </cell>
        </row>
        <row r="17">
          <cell r="F17">
            <v>4.3594817306923295</v>
          </cell>
          <cell r="G17">
            <v>4.3594817383792606</v>
          </cell>
          <cell r="H17">
            <v>4.3594817638608179</v>
          </cell>
        </row>
        <row r="18">
          <cell r="F18">
            <v>9.038988099368055E-3</v>
          </cell>
          <cell r="G18">
            <v>1.6304736507707591E-2</v>
          </cell>
          <cell r="H18">
            <v>9.2997893850978366E-3</v>
          </cell>
        </row>
        <row r="19">
          <cell r="F19">
            <v>0.27948867283305273</v>
          </cell>
          <cell r="G19">
            <v>0.28606062440152963</v>
          </cell>
          <cell r="H19">
            <v>0.29968658285126931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7.0594496631054405E-5</v>
          </cell>
          <cell r="H21">
            <v>0.24954633883735869</v>
          </cell>
        </row>
        <row r="22">
          <cell r="F22">
            <v>1.09215462800992E-4</v>
          </cell>
          <cell r="G22">
            <v>4.5349862181035883E-4</v>
          </cell>
          <cell r="H22">
            <v>4.5357794575154179E-4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1.7069737755009322E-4</v>
          </cell>
          <cell r="G24">
            <v>1.3427365079611119E-4</v>
          </cell>
          <cell r="H24">
            <v>9.0617876299045564E-5</v>
          </cell>
        </row>
        <row r="25">
          <cell r="F25">
            <v>4.1503232177228108E-2</v>
          </cell>
          <cell r="G25">
            <v>3.9567169464095941E-2</v>
          </cell>
          <cell r="H25">
            <v>6.3668085046457955E-4</v>
          </cell>
        </row>
        <row r="26">
          <cell r="F26">
            <v>6.9925858818989314E-2</v>
          </cell>
          <cell r="G26">
            <v>7.0079076935226206E-2</v>
          </cell>
          <cell r="H26">
            <v>7.029301392751354E-2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9.5899701363105598E-5</v>
          </cell>
          <cell r="G28">
            <v>3.2497297351842677E-5</v>
          </cell>
          <cell r="H28">
            <v>3.0920983708346065E-5</v>
          </cell>
        </row>
        <row r="29">
          <cell r="F29">
            <v>0</v>
          </cell>
          <cell r="G29">
            <v>2.0420330915139599E-4</v>
          </cell>
          <cell r="H29">
            <v>2.0063763482430233E-2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5.0593833464325498E-6</v>
          </cell>
          <cell r="H32">
            <v>3.2323955230160801E-5</v>
          </cell>
        </row>
        <row r="33">
          <cell r="F33">
            <v>0.14554898528417481</v>
          </cell>
          <cell r="G33">
            <v>0.14554916819972469</v>
          </cell>
          <cell r="H33">
            <v>0.14554901260663999</v>
          </cell>
        </row>
        <row r="34">
          <cell r="F34">
            <v>6.8835043076846472E-2</v>
          </cell>
          <cell r="G34">
            <v>6.8904218933335079E-2</v>
          </cell>
          <cell r="H34">
            <v>6.3999872787231403E-3</v>
          </cell>
        </row>
        <row r="35">
          <cell r="F35">
            <v>3.6704114627399402</v>
          </cell>
          <cell r="G35">
            <v>3.8576393486128668</v>
          </cell>
          <cell r="H35">
            <v>4.2612334513624903</v>
          </cell>
        </row>
        <row r="36">
          <cell r="F36">
            <v>1.3292895864710401</v>
          </cell>
          <cell r="G36">
            <v>1.4109837081170591</v>
          </cell>
          <cell r="H36">
            <v>1.5897420311302131</v>
          </cell>
        </row>
        <row r="37">
          <cell r="F37">
            <v>1.1581497097292162</v>
          </cell>
          <cell r="G37">
            <v>1.217227031219505</v>
          </cell>
          <cell r="H37">
            <v>1.3445747071908101</v>
          </cell>
        </row>
        <row r="38">
          <cell r="F38">
            <v>3.253271239563579</v>
          </cell>
          <cell r="G38">
            <v>3.419220776560409</v>
          </cell>
          <cell r="H38">
            <v>3.7769464756921298</v>
          </cell>
        </row>
        <row r="39">
          <cell r="F39">
            <v>4.8488368048060206E-2</v>
          </cell>
          <cell r="G39">
            <v>2.2927660245354999E-2</v>
          </cell>
          <cell r="H39">
            <v>5.9079010601504204E-3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2.2653293558942522E-2</v>
          </cell>
          <cell r="G41">
            <v>4.2053728306829706E-2</v>
          </cell>
          <cell r="H41">
            <v>4.9878410280052639E-2</v>
          </cell>
        </row>
        <row r="42">
          <cell r="F42">
            <v>9.5405893572885675E-2</v>
          </cell>
          <cell r="G42">
            <v>0.13700018355231641</v>
          </cell>
          <cell r="H42">
            <v>0.18531472097178189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4.3063482134064746E-5</v>
          </cell>
          <cell r="G44">
            <v>4.3054294219064745E-5</v>
          </cell>
          <cell r="H44">
            <v>2.0477619323742112E-5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2.7217189717766799E-5</v>
          </cell>
          <cell r="G47">
            <v>2.3429183409679377E-5</v>
          </cell>
          <cell r="H47">
            <v>2.2305630089565088E-5</v>
          </cell>
        </row>
        <row r="48">
          <cell r="F48">
            <v>4.3465527997780932E-4</v>
          </cell>
          <cell r="G48">
            <v>1.6203591162433417E-4</v>
          </cell>
          <cell r="H48">
            <v>2.94653583992476E-5</v>
          </cell>
        </row>
        <row r="49">
          <cell r="F49">
            <v>9.5929323313546101E-6</v>
          </cell>
          <cell r="G49">
            <v>1.0126762949075E-5</v>
          </cell>
          <cell r="H49">
            <v>8.9706178242162225E-6</v>
          </cell>
        </row>
        <row r="50">
          <cell r="F50">
            <v>1.853470863816833E-5</v>
          </cell>
          <cell r="G50">
            <v>1.4427638425074184E-5</v>
          </cell>
          <cell r="H50">
            <v>1.550443443880081E-5</v>
          </cell>
        </row>
        <row r="51">
          <cell r="F51">
            <v>8.9718915864429497E-2</v>
          </cell>
          <cell r="G51">
            <v>0.13188340128119044</v>
          </cell>
          <cell r="H51">
            <v>7.0422478485306444E-2</v>
          </cell>
        </row>
        <row r="52">
          <cell r="F52">
            <v>6.0561801588520704E-5</v>
          </cell>
          <cell r="G52">
            <v>9.0716772562062504E-5</v>
          </cell>
          <cell r="H52">
            <v>6.8974084409460237E-5</v>
          </cell>
        </row>
        <row r="53">
          <cell r="F53">
            <v>3.1401440875519204E-5</v>
          </cell>
          <cell r="G53">
            <v>2.4371609473236257E-5</v>
          </cell>
          <cell r="H53">
            <v>3.5219217396552016E-5</v>
          </cell>
        </row>
        <row r="54">
          <cell r="F54">
            <v>8.4744174518203153E-2</v>
          </cell>
          <cell r="G54">
            <v>8.4744174450293738E-2</v>
          </cell>
          <cell r="H54">
            <v>8.4744157714482515E-2</v>
          </cell>
        </row>
        <row r="55">
          <cell r="F55">
            <v>0.25248273227273454</v>
          </cell>
          <cell r="G55">
            <v>0.23735196538680967</v>
          </cell>
          <cell r="H55">
            <v>3.812149114099106E-5</v>
          </cell>
        </row>
        <row r="56">
          <cell r="F56">
            <v>2.0057975750929001E-5</v>
          </cell>
          <cell r="G56">
            <v>1.514018795331668E-5</v>
          </cell>
          <cell r="H56">
            <v>9.1736192696294675E-6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2.14388355706916E-5</v>
          </cell>
          <cell r="G58">
            <v>4.7706278531657401E-5</v>
          </cell>
          <cell r="H58">
            <v>2.6874790817608457E-5</v>
          </cell>
        </row>
        <row r="63">
          <cell r="F63">
            <v>3.5876248197226623E-4</v>
          </cell>
          <cell r="G63">
            <v>3.5871768002015969E-4</v>
          </cell>
          <cell r="H63">
            <v>3.5875336454650741E-4</v>
          </cell>
        </row>
        <row r="64">
          <cell r="F64">
            <v>1.1677332816968734E-2</v>
          </cell>
          <cell r="G64">
            <v>1.204448072021713E-2</v>
          </cell>
          <cell r="H64">
            <v>1.325668630126715E-2</v>
          </cell>
        </row>
        <row r="65">
          <cell r="F65">
            <v>6.890123036340335E-3</v>
          </cell>
          <cell r="G65">
            <v>7.1103131245678431E-3</v>
          </cell>
          <cell r="H65">
            <v>7.110354747917904E-3</v>
          </cell>
        </row>
        <row r="66">
          <cell r="F66">
            <v>7.6388921745891153E-2</v>
          </cell>
          <cell r="G66">
            <v>8.2794441813387312E-2</v>
          </cell>
          <cell r="H66">
            <v>0.100602202908135</v>
          </cell>
        </row>
        <row r="67">
          <cell r="F67">
            <v>0.14086110952459097</v>
          </cell>
          <cell r="G67">
            <v>0.15419042010445741</v>
          </cell>
          <cell r="H67">
            <v>0.19109739090651079</v>
          </cell>
        </row>
        <row r="68">
          <cell r="F68">
            <v>4.241820478227562E-2</v>
          </cell>
          <cell r="G68">
            <v>4.5974834026404315E-2</v>
          </cell>
          <cell r="H68">
            <v>5.5862737036293575E-2</v>
          </cell>
        </row>
        <row r="69">
          <cell r="F69">
            <v>0.13541464908872333</v>
          </cell>
          <cell r="G69">
            <v>0.14676971691723123</v>
          </cell>
          <cell r="H69">
            <v>0.17833756704339818</v>
          </cell>
        </row>
      </sheetData>
      <sheetData sheetId="61">
        <row r="14">
          <cell r="F14">
            <v>0</v>
          </cell>
          <cell r="G14">
            <v>1.4747144625980824</v>
          </cell>
          <cell r="H14">
            <v>6.179542020095969</v>
          </cell>
        </row>
        <row r="15">
          <cell r="F15">
            <v>1.198007767441728E-7</v>
          </cell>
          <cell r="G15">
            <v>2.095962490341687E-7</v>
          </cell>
          <cell r="H15">
            <v>1.1279273332445654</v>
          </cell>
        </row>
        <row r="16">
          <cell r="F16">
            <v>3.72555086589532E-8</v>
          </cell>
          <cell r="G16">
            <v>2.8073205367215304E-8</v>
          </cell>
          <cell r="H16">
            <v>7.5105025017182296E-8</v>
          </cell>
        </row>
        <row r="17">
          <cell r="F17">
            <v>0</v>
          </cell>
          <cell r="G17">
            <v>1.5497064239321199E-8</v>
          </cell>
          <cell r="H17">
            <v>7.5281033154504406E-8</v>
          </cell>
        </row>
        <row r="18">
          <cell r="F18">
            <v>2.02659648786533E-3</v>
          </cell>
          <cell r="G18">
            <v>7.2660508656170603E-3</v>
          </cell>
          <cell r="H18">
            <v>6.6026016385823598E-7</v>
          </cell>
        </row>
        <row r="19">
          <cell r="F19">
            <v>0.10448039621148</v>
          </cell>
          <cell r="G19">
            <v>3.9376205501359098E-2</v>
          </cell>
          <cell r="H19">
            <v>9.1145127374264098E-2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0</v>
          </cell>
          <cell r="G21">
            <v>1.4661704847376901E-4</v>
          </cell>
          <cell r="H21">
            <v>0.33704310678684601</v>
          </cell>
        </row>
        <row r="22">
          <cell r="F22">
            <v>4.5351891917342702E-4</v>
          </cell>
          <cell r="G22">
            <v>3.0711330699769399E-7</v>
          </cell>
          <cell r="H22">
            <v>1.67957628888508E-7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3.8773416306613401E-7</v>
          </cell>
          <cell r="G24">
            <v>2.1976764860239001E-7</v>
          </cell>
          <cell r="H24">
            <v>9.0159813205369703E-5</v>
          </cell>
        </row>
        <row r="25">
          <cell r="F25">
            <v>3.2499710656265698E-7</v>
          </cell>
          <cell r="G25">
            <v>6.2886964908891695E-4</v>
          </cell>
          <cell r="H25">
            <v>1.2940025666755001E-7</v>
          </cell>
        </row>
        <row r="26">
          <cell r="F26">
            <v>5.6586777351022603E-3</v>
          </cell>
          <cell r="G26">
            <v>1.9609019773940001E-2</v>
          </cell>
          <cell r="H26">
            <v>2.8457898600671799E-2</v>
          </cell>
        </row>
        <row r="27">
          <cell r="F27">
            <v>0</v>
          </cell>
          <cell r="G27">
            <v>0</v>
          </cell>
          <cell r="H27">
            <v>0</v>
          </cell>
        </row>
        <row r="28">
          <cell r="F28">
            <v>4.7874312806920198E-7</v>
          </cell>
          <cell r="G28">
            <v>1.40385397531656E-6</v>
          </cell>
          <cell r="H28">
            <v>2.9216143965441401E-5</v>
          </cell>
        </row>
        <row r="29">
          <cell r="F29">
            <v>0</v>
          </cell>
          <cell r="G29">
            <v>2.0420330915139599E-4</v>
          </cell>
          <cell r="H29">
            <v>1.9859570683790101E-2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3.2318009094882099E-5</v>
          </cell>
          <cell r="H32">
            <v>1.0305164921977199E-8</v>
          </cell>
        </row>
        <row r="33">
          <cell r="F33">
            <v>2.2846322627159601E-2</v>
          </cell>
          <cell r="G33">
            <v>2.9071174147862899E-7</v>
          </cell>
          <cell r="H33">
            <v>0.125460729169037</v>
          </cell>
        </row>
        <row r="34">
          <cell r="F34">
            <v>5.7209692757576876E-5</v>
          </cell>
          <cell r="G34">
            <v>6.9176654752789113E-5</v>
          </cell>
          <cell r="H34">
            <v>2.1218233499607489E-7</v>
          </cell>
        </row>
        <row r="35">
          <cell r="F35">
            <v>0.69052429781414504</v>
          </cell>
          <cell r="G35">
            <v>0.89965810913775801</v>
          </cell>
          <cell r="H35">
            <v>2.8113238306838402</v>
          </cell>
        </row>
        <row r="36">
          <cell r="F36">
            <v>0.29984697191248033</v>
          </cell>
          <cell r="G36">
            <v>0.66480216141750603</v>
          </cell>
          <cell r="H36">
            <v>0.68600370427506252</v>
          </cell>
        </row>
        <row r="37">
          <cell r="F37">
            <v>0.14465743736057948</v>
          </cell>
          <cell r="G37">
            <v>0.28406666041945439</v>
          </cell>
          <cell r="H37">
            <v>0.94523622847982303</v>
          </cell>
        </row>
        <row r="38">
          <cell r="F38">
            <v>0.62472374089152705</v>
          </cell>
          <cell r="G38">
            <v>0.57339982523409505</v>
          </cell>
          <cell r="H38">
            <v>2.70572908820108</v>
          </cell>
        </row>
        <row r="39">
          <cell r="F39">
            <v>1.13645667352748E-7</v>
          </cell>
          <cell r="G39">
            <v>1.3241801275342199E-7</v>
          </cell>
          <cell r="H39">
            <v>4.9734310628686398E-7</v>
          </cell>
        </row>
        <row r="40">
          <cell r="F40">
            <v>0</v>
          </cell>
          <cell r="G40">
            <v>0</v>
          </cell>
          <cell r="H40">
            <v>0</v>
          </cell>
        </row>
        <row r="41">
          <cell r="F41">
            <v>3.4040151487090701E-3</v>
          </cell>
          <cell r="G41">
            <v>2.8589216606497301E-2</v>
          </cell>
          <cell r="H41">
            <v>2.7690429770510099E-2</v>
          </cell>
        </row>
        <row r="42">
          <cell r="F42">
            <v>4.6351857569464798E-2</v>
          </cell>
          <cell r="G42">
            <v>7.7055156350779003E-2</v>
          </cell>
          <cell r="H42">
            <v>0.10978664724053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F44">
            <v>3.4093520491133003E-8</v>
          </cell>
          <cell r="G44">
            <v>1.25015758604118E-8</v>
          </cell>
          <cell r="H44">
            <v>1.6840125587199E-8</v>
          </cell>
        </row>
        <row r="45">
          <cell r="F45">
            <v>0</v>
          </cell>
          <cell r="G45">
            <v>0</v>
          </cell>
          <cell r="H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</row>
        <row r="47">
          <cell r="F47">
            <v>9.1385320998198799E-6</v>
          </cell>
          <cell r="G47">
            <v>1.95552287468901E-6</v>
          </cell>
          <cell r="H47">
            <v>1.70287613810559E-5</v>
          </cell>
        </row>
        <row r="48">
          <cell r="F48">
            <v>6.6914456076888004E-6</v>
          </cell>
          <cell r="G48">
            <v>1.0112107514429591E-5</v>
          </cell>
          <cell r="H48">
            <v>1.4003602098253209E-5</v>
          </cell>
        </row>
        <row r="49">
          <cell r="F49">
            <v>6.1876470939276996E-6</v>
          </cell>
          <cell r="G49">
            <v>5.3383061772039694E-7</v>
          </cell>
          <cell r="H49">
            <v>2.62660292853603E-6</v>
          </cell>
        </row>
        <row r="50">
          <cell r="F50">
            <v>5.3655417576956998E-6</v>
          </cell>
          <cell r="G50">
            <v>7.6463063036118495E-8</v>
          </cell>
          <cell r="H50">
            <v>1.3179347165552399E-5</v>
          </cell>
        </row>
        <row r="51">
          <cell r="F51">
            <v>1.035079076925783E-2</v>
          </cell>
          <cell r="G51">
            <v>4.2363506322262101E-2</v>
          </cell>
          <cell r="H51">
            <v>7.9763310360041595E-8</v>
          </cell>
        </row>
        <row r="52">
          <cell r="F52">
            <v>4.2787506687220998E-5</v>
          </cell>
          <cell r="G52">
            <v>3.01549709735418E-5</v>
          </cell>
          <cell r="H52">
            <v>1.5184541152090192E-7</v>
          </cell>
        </row>
        <row r="53">
          <cell r="F53">
            <v>8.8306663186441288E-6</v>
          </cell>
          <cell r="G53">
            <v>1.577288162274619E-7</v>
          </cell>
          <cell r="H53">
            <v>3.1384611564600105E-5</v>
          </cell>
        </row>
        <row r="54">
          <cell r="F54">
            <v>4.4083507474734801E-2</v>
          </cell>
          <cell r="G54">
            <v>3.1151085583192E-2</v>
          </cell>
          <cell r="H54">
            <v>4.3489704586102802E-2</v>
          </cell>
        </row>
        <row r="55">
          <cell r="F55">
            <v>0.22324506777798001</v>
          </cell>
          <cell r="G55">
            <v>3.8144857618658298E-7</v>
          </cell>
          <cell r="H55">
            <v>2.2375631416563401E-8</v>
          </cell>
        </row>
        <row r="56">
          <cell r="F56">
            <v>4.2521837057307398E-6</v>
          </cell>
          <cell r="G56">
            <v>1.13633940142297E-7</v>
          </cell>
          <cell r="H56">
            <v>7.3029105250449401E-6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1.46292352606053E-5</v>
          </cell>
          <cell r="G58">
            <v>2.8426179485035401E-5</v>
          </cell>
          <cell r="H58">
            <v>6.3240391298860903E-8</v>
          </cell>
        </row>
        <row r="63">
          <cell r="F63">
            <v>2.8273124581524201E-8</v>
          </cell>
          <cell r="G63">
            <v>3.6019082083324801E-8</v>
          </cell>
          <cell r="H63">
            <v>3.3096998667589998E-8</v>
          </cell>
        </row>
        <row r="64">
          <cell r="F64">
            <v>3.6025205397518401E-3</v>
          </cell>
          <cell r="G64">
            <v>7.5734533198746701E-3</v>
          </cell>
          <cell r="H64">
            <v>8.8264338800938692E-3</v>
          </cell>
        </row>
        <row r="65">
          <cell r="F65">
            <v>2.1854940294393399E-3</v>
          </cell>
          <cell r="G65">
            <v>4.43631578155589E-3</v>
          </cell>
          <cell r="H65">
            <v>4.5020489962761699E-3</v>
          </cell>
        </row>
        <row r="66">
          <cell r="F66">
            <v>3.9881408701254402E-2</v>
          </cell>
          <cell r="G66">
            <v>4.2744773770564397E-2</v>
          </cell>
          <cell r="H66">
            <v>7.2166778405477403E-2</v>
          </cell>
        </row>
        <row r="67">
          <cell r="F67">
            <v>7.4795022022167104E-2</v>
          </cell>
          <cell r="G67">
            <v>7.93015908232617E-2</v>
          </cell>
          <cell r="H67">
            <v>0.13820162646058592</v>
          </cell>
        </row>
        <row r="68">
          <cell r="F68">
            <v>2.2000806080665299E-2</v>
          </cell>
          <cell r="G68">
            <v>2.38135370604819E-2</v>
          </cell>
          <cell r="H68">
            <v>4.0059310028499995E-2</v>
          </cell>
        </row>
        <row r="69">
          <cell r="F69">
            <v>7.1130181940312606E-2</v>
          </cell>
          <cell r="G69">
            <v>7.5506748094813003E-2</v>
          </cell>
          <cell r="H69">
            <v>0.12798803450605301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2.2463146938995175E-4</v>
          </cell>
        </row>
      </sheetData>
      <sheetData sheetId="67">
        <row r="5">
          <cell r="F5">
            <v>1.5928320859153944E-5</v>
          </cell>
          <cell r="G5">
            <v>1.2584585716970432E-5</v>
          </cell>
          <cell r="H5">
            <v>1.4070953085286726</v>
          </cell>
        </row>
        <row r="12">
          <cell r="F12">
            <v>1.4144207296893224E-5</v>
          </cell>
          <cell r="G12">
            <v>6.1234838018875422E-6</v>
          </cell>
          <cell r="H12">
            <v>3.4683613139299159E-5</v>
          </cell>
        </row>
        <row r="19">
          <cell r="F19">
            <v>4.384764690095313</v>
          </cell>
          <cell r="G19">
            <v>4.3851031629594566</v>
          </cell>
          <cell r="H19">
            <v>4.3851033366113663</v>
          </cell>
        </row>
        <row r="20">
          <cell r="F20">
            <v>5.7912321003075373</v>
          </cell>
          <cell r="G20">
            <v>5.6305246471519235</v>
          </cell>
          <cell r="H20">
            <v>5.3090770270600665</v>
          </cell>
        </row>
        <row r="21">
          <cell r="F21">
            <v>3.3843141602637345E-5</v>
          </cell>
          <cell r="G21">
            <v>3.4151914119918363E-5</v>
          </cell>
          <cell r="H21">
            <v>4.4378509955864003E-5</v>
          </cell>
        </row>
        <row r="28">
          <cell r="F28">
            <v>4.8514528872181262E-3</v>
          </cell>
          <cell r="G28">
            <v>4.8605805901866554E-3</v>
          </cell>
          <cell r="H28">
            <v>0.18467630575695693</v>
          </cell>
        </row>
        <row r="29">
          <cell r="F29">
            <v>0</v>
          </cell>
          <cell r="G29">
            <v>0</v>
          </cell>
          <cell r="H29">
            <v>1.7071991673636331E-4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3.4769555735883855</v>
          </cell>
          <cell r="G38">
            <v>3.4765028261947482</v>
          </cell>
          <cell r="H38">
            <v>3.4767741554802463</v>
          </cell>
        </row>
        <row r="39">
          <cell r="F39">
            <v>3.1732454121079221</v>
          </cell>
          <cell r="G39">
            <v>3.1728322119506931</v>
          </cell>
          <cell r="H39">
            <v>3.1730798407719867</v>
          </cell>
        </row>
      </sheetData>
      <sheetData sheetId="68">
        <row r="3">
          <cell r="F3">
            <v>54.240505304592169</v>
          </cell>
          <cell r="G3">
            <v>54.732288419128061</v>
          </cell>
          <cell r="H3">
            <v>56.214361181830277</v>
          </cell>
        </row>
        <row r="6">
          <cell r="F6">
            <v>1.8410300443248548</v>
          </cell>
          <cell r="G6">
            <v>1.8411990644784992</v>
          </cell>
          <cell r="H6">
            <v>1.8412453263323398</v>
          </cell>
        </row>
        <row r="11">
          <cell r="F11">
            <v>69.208321093409666</v>
          </cell>
          <cell r="G11">
            <v>69.658173611530842</v>
          </cell>
          <cell r="H11">
            <v>71.443565151933029</v>
          </cell>
        </row>
        <row r="18">
          <cell r="F18">
            <v>1.8364065412240321E-4</v>
          </cell>
          <cell r="G18">
            <v>7.596573910203059E-5</v>
          </cell>
          <cell r="H18">
            <v>2.8280544849642935E-4</v>
          </cell>
        </row>
        <row r="19">
          <cell r="F19">
            <v>14.831497247726293</v>
          </cell>
          <cell r="G19">
            <v>15.119300507956638</v>
          </cell>
          <cell r="H19">
            <v>19.174153185195376</v>
          </cell>
        </row>
        <row r="21">
          <cell r="F21">
            <v>10.790522003714115</v>
          </cell>
          <cell r="G21">
            <v>10.738615180474074</v>
          </cell>
          <cell r="H21">
            <v>10.629740136950851</v>
          </cell>
        </row>
        <row r="22">
          <cell r="F22">
            <v>8.5446042804761729E-2</v>
          </cell>
          <cell r="G22">
            <v>8.5341947649360955E-2</v>
          </cell>
          <cell r="H22">
            <v>4.4469026996080768E-2</v>
          </cell>
        </row>
        <row r="23">
          <cell r="F23">
            <v>8.1286584560384002E-3</v>
          </cell>
          <cell r="G23">
            <v>8.5880137014148032E-3</v>
          </cell>
          <cell r="H23">
            <v>0.33644248756591166</v>
          </cell>
        </row>
        <row r="24">
          <cell r="F24">
            <v>3.5246343485840685</v>
          </cell>
          <cell r="G24">
            <v>3.5567151546207323</v>
          </cell>
          <cell r="H24">
            <v>3.6111818085698455</v>
          </cell>
        </row>
        <row r="33">
          <cell r="F33">
            <v>15.287848516094291</v>
          </cell>
          <cell r="G33">
            <v>15.245966945062069</v>
          </cell>
          <cell r="H33">
            <v>15.549303278053152</v>
          </cell>
        </row>
        <row r="34">
          <cell r="F34">
            <v>5.1103512200213839</v>
          </cell>
          <cell r="G34">
            <v>3.4925671609130422</v>
          </cell>
          <cell r="H34">
            <v>0.26432474104783454</v>
          </cell>
        </row>
        <row r="35">
          <cell r="F35">
            <v>1.9188766210856832E-4</v>
          </cell>
          <cell r="G35">
            <v>9.0475873225181471E-5</v>
          </cell>
          <cell r="H35">
            <v>0</v>
          </cell>
        </row>
        <row r="36">
          <cell r="F36">
            <v>1.4905821622571456E-4</v>
          </cell>
          <cell r="G36">
            <v>1.6525735860081902E-4</v>
          </cell>
          <cell r="H36">
            <v>1.3105738705174774E-4</v>
          </cell>
        </row>
        <row r="37">
          <cell r="F37">
            <v>24.92229062621054</v>
          </cell>
          <cell r="G37">
            <v>26.157520510882087</v>
          </cell>
          <cell r="H37">
            <v>23.961296583030496</v>
          </cell>
        </row>
        <row r="38">
          <cell r="F38">
            <v>2.9281708801435067</v>
          </cell>
          <cell r="G38">
            <v>3.0607674029322585</v>
          </cell>
          <cell r="H38">
            <v>3.0640463493252872</v>
          </cell>
        </row>
        <row r="39">
          <cell r="F39">
            <v>8.4435734597810228</v>
          </cell>
          <cell r="G39">
            <v>8.4435847936737201</v>
          </cell>
          <cell r="H39">
            <v>8.4435851802748534</v>
          </cell>
        </row>
        <row r="55">
          <cell r="F55">
            <v>11.620481498547532</v>
          </cell>
          <cell r="G55">
            <v>11.620483657939559</v>
          </cell>
          <cell r="H55">
            <v>11.95495787018957</v>
          </cell>
        </row>
        <row r="56">
          <cell r="F56">
            <v>5.0659812312609258</v>
          </cell>
          <cell r="G56">
            <v>5.0821777442572378</v>
          </cell>
          <cell r="H56">
            <v>5.082178905178159</v>
          </cell>
        </row>
        <row r="57">
          <cell r="F57">
            <v>4.0214285616232326</v>
          </cell>
          <cell r="G57">
            <v>2.7593971542083313</v>
          </cell>
          <cell r="H57">
            <v>0.2105936716524125</v>
          </cell>
        </row>
        <row r="58">
          <cell r="F58">
            <v>1.3394958113066232E-4</v>
          </cell>
          <cell r="G58">
            <v>6.3819419076212433E-5</v>
          </cell>
          <cell r="H58">
            <v>0</v>
          </cell>
        </row>
        <row r="59">
          <cell r="F59">
            <v>22.561064501736773</v>
          </cell>
          <cell r="G59">
            <v>23.72795711768282</v>
          </cell>
          <cell r="H59">
            <v>22.163292356464034</v>
          </cell>
        </row>
        <row r="60">
          <cell r="F60">
            <v>2.0792833924900247E-2</v>
          </cell>
          <cell r="G60">
            <v>4.6059693525224944E-3</v>
          </cell>
          <cell r="H60">
            <v>4.6056424960355001E-3</v>
          </cell>
        </row>
        <row r="61">
          <cell r="F61">
            <v>1.2349833989731607E-4</v>
          </cell>
          <cell r="G61">
            <v>5.127687389387062E-5</v>
          </cell>
          <cell r="H61">
            <v>1.9230770497757186E-4</v>
          </cell>
        </row>
        <row r="62">
          <cell r="F62">
            <v>6.7655784593331685</v>
          </cell>
          <cell r="G62">
            <v>7.073114129735572</v>
          </cell>
          <cell r="H62">
            <v>9.1334944900755453</v>
          </cell>
        </row>
        <row r="63">
          <cell r="F63">
            <v>7.1660477353406664</v>
          </cell>
          <cell r="G63">
            <v>7.2038141132456026</v>
          </cell>
          <cell r="H63">
            <v>9.0820047784298055</v>
          </cell>
        </row>
        <row r="64">
          <cell r="F64">
            <v>6.1541273140276198</v>
          </cell>
          <cell r="G64">
            <v>6.1757443640313667</v>
          </cell>
          <cell r="H64">
            <v>6.2149970291870176</v>
          </cell>
        </row>
        <row r="65">
          <cell r="F65">
            <v>0.54458246843162206</v>
          </cell>
          <cell r="G65">
            <v>0.54458279864619108</v>
          </cell>
          <cell r="H65">
            <v>0.54458325771367844</v>
          </cell>
        </row>
        <row r="66">
          <cell r="F66">
            <v>5.6973956179610514</v>
          </cell>
          <cell r="G66">
            <v>5.6699888152903011</v>
          </cell>
          <cell r="H66">
            <v>5.7825786345012666</v>
          </cell>
        </row>
        <row r="67">
          <cell r="F67">
            <v>8.5446042804761729E-2</v>
          </cell>
          <cell r="G67">
            <v>8.5341947649360955E-2</v>
          </cell>
          <cell r="H67">
            <v>4.4469026996080768E-2</v>
          </cell>
        </row>
        <row r="68">
          <cell r="F68">
            <v>6.0033807299043076</v>
          </cell>
          <cell r="G68">
            <v>6.0033887883020114</v>
          </cell>
          <cell r="H68">
            <v>6.0793813297978989</v>
          </cell>
        </row>
        <row r="69">
          <cell r="F69">
            <v>3.8004960138617381E-3</v>
          </cell>
          <cell r="G69">
            <v>3.8242698862831549E-3</v>
          </cell>
          <cell r="H69">
            <v>0.14976779736153714</v>
          </cell>
        </row>
        <row r="70">
          <cell r="F70">
            <v>1.5210035581544885</v>
          </cell>
          <cell r="G70">
            <v>1.5211274534589498</v>
          </cell>
          <cell r="H70">
            <v>1.5211547759624489</v>
          </cell>
        </row>
        <row r="71">
          <cell r="F71">
            <v>77.231368496985951</v>
          </cell>
          <cell r="G71">
            <v>77.475663419979071</v>
          </cell>
          <cell r="H71">
            <v>77.968251873710457</v>
          </cell>
        </row>
      </sheetData>
      <sheetData sheetId="69">
        <row r="3">
          <cell r="F3">
            <v>58.873229377355429</v>
          </cell>
          <cell r="G3">
            <v>58.581560318046208</v>
          </cell>
          <cell r="H3">
            <v>57.3479306751641</v>
          </cell>
        </row>
        <row r="6">
          <cell r="F6">
            <v>5.8481934407690703</v>
          </cell>
          <cell r="G6">
            <v>7.5761923729308576</v>
          </cell>
          <cell r="H6">
            <v>10.770329393154412</v>
          </cell>
        </row>
        <row r="11">
          <cell r="F11">
            <v>62.539580191448081</v>
          </cell>
          <cell r="G11">
            <v>62.715053648412493</v>
          </cell>
          <cell r="H11">
            <v>62.30809887525843</v>
          </cell>
        </row>
        <row r="12">
          <cell r="F12">
            <v>15.198880075302203</v>
          </cell>
          <cell r="G12">
            <v>12.209585644216778</v>
          </cell>
          <cell r="H12">
            <v>5.2086977130874663</v>
          </cell>
        </row>
        <row r="13">
          <cell r="F13">
            <v>7.089182614505388E-5</v>
          </cell>
          <cell r="G13">
            <v>2.621221296717016E-5</v>
          </cell>
          <cell r="H13">
            <v>1.7914894244569983E-5</v>
          </cell>
        </row>
        <row r="14">
          <cell r="F14">
            <v>19.925471805804222</v>
          </cell>
          <cell r="G14">
            <v>17.046868788855587</v>
          </cell>
          <cell r="H14">
            <v>12.353858501168169</v>
          </cell>
        </row>
        <row r="15">
          <cell r="F15">
            <v>1.2265732498110038E-4</v>
          </cell>
          <cell r="G15">
            <v>1.3863996962167729E-5</v>
          </cell>
          <cell r="H15">
            <v>3.2545516962728072E-5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7.6331252036777171</v>
          </cell>
          <cell r="G17">
            <v>7.976402177207234</v>
          </cell>
          <cell r="H17">
            <v>8.4877192592780926</v>
          </cell>
        </row>
        <row r="19">
          <cell r="F19">
            <v>0.68114586012641432</v>
          </cell>
          <cell r="G19">
            <v>0.73462659933055852</v>
          </cell>
          <cell r="H19">
            <v>0.87740687823161689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9.0077937938504551</v>
          </cell>
          <cell r="G21">
            <v>11.159219908885355</v>
          </cell>
          <cell r="H21">
            <v>15.881127450094359</v>
          </cell>
        </row>
        <row r="28">
          <cell r="F28">
            <v>3.6663508140926542</v>
          </cell>
          <cell r="G28">
            <v>4.1334933303662815</v>
          </cell>
          <cell r="H28">
            <v>4.9601682000943255</v>
          </cell>
        </row>
        <row r="47">
          <cell r="F47">
            <v>9.6814528450133963</v>
          </cell>
          <cell r="G47">
            <v>11.706592195175997</v>
          </cell>
          <cell r="H47">
            <v>15.908564628538544</v>
          </cell>
        </row>
        <row r="48">
          <cell r="F48">
            <v>12.42457950936369</v>
          </cell>
          <cell r="G48">
            <v>9.9809054991209365</v>
          </cell>
          <cell r="H48">
            <v>4.2579321165973321</v>
          </cell>
        </row>
        <row r="49">
          <cell r="F49">
            <v>15.165487336225024</v>
          </cell>
          <cell r="G49">
            <v>12.201579817017411</v>
          </cell>
          <cell r="H49">
            <v>7.1474584933491236</v>
          </cell>
        </row>
        <row r="50">
          <cell r="F50">
            <v>4.8093676922781361</v>
          </cell>
          <cell r="G50">
            <v>6.0106677272225273</v>
          </cell>
          <cell r="H50">
            <v>8.6578328657337824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6.3102878317493678</v>
          </cell>
          <cell r="G52">
            <v>6.594074151399858</v>
          </cell>
          <cell r="H52">
            <v>7.0167788595058829</v>
          </cell>
        </row>
        <row r="53">
          <cell r="F53">
            <v>5.8479758394967405</v>
          </cell>
          <cell r="G53">
            <v>5.3552813030615116</v>
          </cell>
          <cell r="H53">
            <v>4.6876373476354454</v>
          </cell>
        </row>
        <row r="54">
          <cell r="F54">
            <v>0.86669638316514996</v>
          </cell>
          <cell r="G54">
            <v>1.0161973327684932</v>
          </cell>
          <cell r="H54">
            <v>1.2444735386213936</v>
          </cell>
        </row>
        <row r="55">
          <cell r="F55">
            <v>0.68114586012641432</v>
          </cell>
          <cell r="G55">
            <v>0.73462659933055852</v>
          </cell>
          <cell r="H55">
            <v>0.87740687823161689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5.8481934407690703</v>
          </cell>
          <cell r="G58">
            <v>7.5761923729308576</v>
          </cell>
          <cell r="H58">
            <v>10.770329393154412</v>
          </cell>
        </row>
        <row r="59">
          <cell r="F59">
            <v>61.924953265286476</v>
          </cell>
          <cell r="G59">
            <v>61.439071951485744</v>
          </cell>
          <cell r="H59">
            <v>60.762643920768298</v>
          </cell>
        </row>
      </sheetData>
      <sheetData sheetId="70">
        <row r="3">
          <cell r="F3">
            <v>50.491599059185717</v>
          </cell>
          <cell r="G3">
            <v>50.540450850409982</v>
          </cell>
          <cell r="H3">
            <v>50.053492171878581</v>
          </cell>
        </row>
        <row r="10">
          <cell r="F10">
            <v>13.204679536952884</v>
          </cell>
          <cell r="G10">
            <v>16.993385350728463</v>
          </cell>
          <cell r="H10">
            <v>24.243107247523124</v>
          </cell>
        </row>
        <row r="15">
          <cell r="F15">
            <v>72.052795222438291</v>
          </cell>
          <cell r="G15">
            <v>73.073853286365335</v>
          </cell>
          <cell r="H15">
            <v>73.884072299298253</v>
          </cell>
        </row>
        <row r="16">
          <cell r="F16">
            <v>23.706337461996636</v>
          </cell>
          <cell r="G16">
            <v>17.718593207632161</v>
          </cell>
          <cell r="H16">
            <v>5.9195421469355667</v>
          </cell>
        </row>
        <row r="17">
          <cell r="F17">
            <v>7.0945076472903943E-5</v>
          </cell>
          <cell r="G17">
            <v>2.6342726657721377E-5</v>
          </cell>
          <cell r="H17">
            <v>1.7964047707683144E-5</v>
          </cell>
        </row>
        <row r="18">
          <cell r="F18">
            <v>38.09333971398457</v>
          </cell>
          <cell r="G18">
            <v>32.780799221629962</v>
          </cell>
          <cell r="H18">
            <v>23.842683366726021</v>
          </cell>
        </row>
        <row r="19">
          <cell r="F19">
            <v>1.7801199587479715E-4</v>
          </cell>
          <cell r="G19">
            <v>1.9551706810759375E-5</v>
          </cell>
          <cell r="H19">
            <v>2.8848292391024223E-5</v>
          </cell>
        </row>
        <row r="20">
          <cell r="F20">
            <v>2.2736032524852179E-4</v>
          </cell>
          <cell r="G20">
            <v>0</v>
          </cell>
          <cell r="H20">
            <v>0</v>
          </cell>
        </row>
        <row r="21">
          <cell r="F21">
            <v>9.9742357274017444</v>
          </cell>
          <cell r="G21">
            <v>10.250500807981876</v>
          </cell>
          <cell r="H21">
            <v>10.733696065417188</v>
          </cell>
        </row>
        <row r="22">
          <cell r="F22">
            <v>15.245522676228616</v>
          </cell>
          <cell r="G22">
            <v>14.201003818004295</v>
          </cell>
          <cell r="H22">
            <v>11.928572717409141</v>
          </cell>
        </row>
        <row r="23">
          <cell r="F23">
            <v>1.2302918259808857</v>
          </cell>
          <cell r="G23">
            <v>1.3250160230294272</v>
          </cell>
          <cell r="H23">
            <v>1.5245298259725975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44.117326632811675</v>
          </cell>
          <cell r="G25">
            <v>50.257716578818929</v>
          </cell>
          <cell r="H25">
            <v>62.69402346937315</v>
          </cell>
        </row>
        <row r="26">
          <cell r="F26">
            <v>204.42032557824001</v>
          </cell>
          <cell r="G26">
            <v>199.60752883789544</v>
          </cell>
          <cell r="H26">
            <v>190.52716670347201</v>
          </cell>
        </row>
        <row r="102">
          <cell r="F102">
            <v>4.7434125905710556E-2</v>
          </cell>
          <cell r="G102">
            <v>4.2527190248623815E-2</v>
          </cell>
          <cell r="H102">
            <v>4.5559045383108024E-2</v>
          </cell>
        </row>
        <row r="104">
          <cell r="F104">
            <v>44.908462920207434</v>
          </cell>
          <cell r="G104">
            <v>48.70169326397663</v>
          </cell>
          <cell r="H104">
            <v>55.73654314618156</v>
          </cell>
        </row>
        <row r="105">
          <cell r="F105">
            <v>17.249895430561956</v>
          </cell>
          <cell r="G105">
            <v>12.805014091854027</v>
          </cell>
          <cell r="H105">
            <v>3.9628807062331939</v>
          </cell>
        </row>
        <row r="106">
          <cell r="F106">
            <v>22.368882151484456</v>
          </cell>
          <cell r="G106">
            <v>16.999437362350012</v>
          </cell>
          <cell r="H106">
            <v>7.8657987939959977</v>
          </cell>
        </row>
        <row r="107">
          <cell r="F107">
            <v>12.635860256962159</v>
          </cell>
          <cell r="G107">
            <v>15.12225964486041</v>
          </cell>
          <cell r="H107">
            <v>19.826272306805485</v>
          </cell>
        </row>
        <row r="108">
          <cell r="F108">
            <v>1.8188826019881752E-4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6.8762577338640796</v>
          </cell>
          <cell r="G110">
            <v>6.9798259333534629</v>
          </cell>
          <cell r="H110">
            <v>7.1740043242385223</v>
          </cell>
        </row>
        <row r="111">
          <cell r="F111">
            <v>8.325974091922534</v>
          </cell>
          <cell r="G111">
            <v>7.445944105120744</v>
          </cell>
          <cell r="H111">
            <v>5.6806121326309844</v>
          </cell>
        </row>
        <row r="112">
          <cell r="F112">
            <v>0.64304827406126597</v>
          </cell>
          <cell r="G112">
            <v>0.73633175355721969</v>
          </cell>
          <cell r="H112">
            <v>0.8940397342671238</v>
          </cell>
        </row>
        <row r="113">
          <cell r="F113">
            <v>3.8662839082753017E-2</v>
          </cell>
          <cell r="G113">
            <v>3.967958186655824E-2</v>
          </cell>
          <cell r="H113">
            <v>4.1458751603050049E-2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126.29933924926543</v>
          </cell>
          <cell r="G116">
            <v>125.86609827791617</v>
          </cell>
          <cell r="H116">
            <v>125.47027618886214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23.857742143986194</v>
          </cell>
          <cell r="G224">
            <v>25.582316004265024</v>
          </cell>
          <cell r="H224">
            <v>29.056883178382559</v>
          </cell>
        </row>
        <row r="231">
          <cell r="F231">
            <v>2.0079501364956793</v>
          </cell>
          <cell r="G231">
            <v>1.9296693969597796</v>
          </cell>
          <cell r="H231">
            <v>1.7416509139115326</v>
          </cell>
        </row>
        <row r="233">
          <cell r="F233">
            <v>53.721922683947867</v>
          </cell>
          <cell r="G233">
            <v>59.162487192756011</v>
          </cell>
          <cell r="H233">
            <v>69.557892568441815</v>
          </cell>
        </row>
        <row r="234">
          <cell r="F234">
            <v>19.484790919235706</v>
          </cell>
          <cell r="G234">
            <v>14.592356829134321</v>
          </cell>
          <cell r="H234">
            <v>4.7840043408007711</v>
          </cell>
        </row>
        <row r="235">
          <cell r="F235">
            <v>26.010391399105117</v>
          </cell>
          <cell r="G235">
            <v>20.0405218856841</v>
          </cell>
          <cell r="H235">
            <v>9.7970536530168495</v>
          </cell>
        </row>
        <row r="236">
          <cell r="F236">
            <v>15.904470217671109</v>
          </cell>
          <cell r="G236">
            <v>19.318714109033124</v>
          </cell>
          <cell r="H236">
            <v>25.919339649500586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8.2030947116178954</v>
          </cell>
          <cell r="G239">
            <v>8.4267838637620596</v>
          </cell>
          <cell r="H239">
            <v>8.8544169022215389</v>
          </cell>
        </row>
        <row r="240">
          <cell r="F240">
            <v>9.5635364685437541</v>
          </cell>
          <cell r="G240">
            <v>8.7000512113811244</v>
          </cell>
          <cell r="H240">
            <v>6.9049644036843807</v>
          </cell>
        </row>
        <row r="241">
          <cell r="F241">
            <v>0.82577160544052675</v>
          </cell>
          <cell r="G241">
            <v>0.95942841971276249</v>
          </cell>
          <cell r="H241">
            <v>1.2001998621715173</v>
          </cell>
        </row>
        <row r="242">
          <cell r="F242">
            <v>1.2302918259808857</v>
          </cell>
          <cell r="G242">
            <v>1.3250160230294272</v>
          </cell>
          <cell r="H242">
            <v>1.5245298259725975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13.204679536952884</v>
          </cell>
          <cell r="G244">
            <v>16.993385350728463</v>
          </cell>
          <cell r="H244">
            <v>24.243107247523124</v>
          </cell>
        </row>
        <row r="245">
          <cell r="F245">
            <v>150.15708139325162</v>
          </cell>
          <cell r="G245">
            <v>151.44841428218118</v>
          </cell>
          <cell r="H245">
            <v>154.52715936724471</v>
          </cell>
        </row>
      </sheetData>
      <sheetData sheetId="71">
        <row r="21">
          <cell r="F21">
            <v>25.65751491796793</v>
          </cell>
          <cell r="G21">
            <v>24.935742837985693</v>
          </cell>
          <cell r="H21">
            <v>19.262625974916158</v>
          </cell>
        </row>
        <row r="22">
          <cell r="F22">
            <v>47.788142114092551</v>
          </cell>
          <cell r="G22">
            <v>36.582255249561953</v>
          </cell>
          <cell r="H22">
            <v>27.002367568071712</v>
          </cell>
        </row>
        <row r="23">
          <cell r="F23">
            <v>1.5836314789234889</v>
          </cell>
          <cell r="G23">
            <v>0.68685559930011997</v>
          </cell>
          <cell r="H23">
            <v>3.8552618100151648E-6</v>
          </cell>
        </row>
        <row r="24">
          <cell r="F24">
            <v>1.1182935177705864E-3</v>
          </cell>
          <cell r="G24">
            <v>1.1272907045984785E-3</v>
          </cell>
          <cell r="H24">
            <v>9.1136100253619366E-4</v>
          </cell>
        </row>
        <row r="25">
          <cell r="F25">
            <v>1.5493203086785583</v>
          </cell>
          <cell r="G25">
            <v>1.4440783309091199</v>
          </cell>
          <cell r="H25">
            <v>1.1155375136100907</v>
          </cell>
        </row>
        <row r="26">
          <cell r="F26">
            <v>2.0043261726397863</v>
          </cell>
          <cell r="G26">
            <v>1.5372515133111375</v>
          </cell>
          <cell r="H26">
            <v>1.2802270496996924</v>
          </cell>
        </row>
        <row r="27">
          <cell r="F27">
            <v>7.8094568708810352E-5</v>
          </cell>
          <cell r="G27">
            <v>1.5820375668526802E-5</v>
          </cell>
          <cell r="H27">
            <v>2.3102690610015233E-5</v>
          </cell>
        </row>
        <row r="28">
          <cell r="F28">
            <v>0.96686012196584104</v>
          </cell>
          <cell r="G28">
            <v>1.4337777950010999</v>
          </cell>
          <cell r="H28">
            <v>1.6907713324512901</v>
          </cell>
        </row>
        <row r="32">
          <cell r="F32">
            <v>3.4689545837608554E-3</v>
          </cell>
          <cell r="G32">
            <v>2.9374082481378192E-3</v>
          </cell>
          <cell r="H32">
            <v>1.5871262705839993E-3</v>
          </cell>
        </row>
      </sheetData>
      <sheetData sheetId="72">
        <row r="11">
          <cell r="F11">
            <v>78.965536877350246</v>
          </cell>
          <cell r="G11">
            <v>78.0932622764511</v>
          </cell>
          <cell r="H11">
            <v>74.980033895941716</v>
          </cell>
        </row>
        <row r="12">
          <cell r="F12">
            <v>5.0403554011837146</v>
          </cell>
          <cell r="G12">
            <v>5.0403549824611433</v>
          </cell>
          <cell r="H12">
            <v>5.0403542753488306</v>
          </cell>
        </row>
        <row r="13">
          <cell r="F13">
            <v>2.4670916043691001E-5</v>
          </cell>
          <cell r="G13">
            <v>2.8373090879284852E-5</v>
          </cell>
          <cell r="H13">
            <v>0.26274608794172555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2.3962116869869354</v>
          </cell>
          <cell r="G53">
            <v>2.4467556849057588</v>
          </cell>
          <cell r="H53">
            <v>3.0282472029028566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5.0068015918224233</v>
          </cell>
          <cell r="G55">
            <v>4.8344223689171235</v>
          </cell>
          <cell r="H55">
            <v>4.4427550650452101</v>
          </cell>
        </row>
        <row r="56">
          <cell r="F56">
            <v>2.9428275598539297</v>
          </cell>
          <cell r="G56">
            <v>2.5153882385705852</v>
          </cell>
          <cell r="H56">
            <v>1.0894765686497541</v>
          </cell>
        </row>
        <row r="57">
          <cell r="F57">
            <v>4.1597758034435213</v>
          </cell>
          <cell r="G57">
            <v>3.5133354970586801</v>
          </cell>
          <cell r="H57">
            <v>1.966167314209696</v>
          </cell>
        </row>
        <row r="58">
          <cell r="F58">
            <v>5.593955583468798</v>
          </cell>
          <cell r="G58">
            <v>4.6399929812312219</v>
          </cell>
          <cell r="H58">
            <v>3.4516320933403497</v>
          </cell>
        </row>
        <row r="59">
          <cell r="F59">
            <v>0</v>
          </cell>
          <cell r="G59">
            <v>0</v>
          </cell>
          <cell r="H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16.247485560705424</v>
          </cell>
          <cell r="K99">
            <v>8.0988558404344406</v>
          </cell>
          <cell r="L99">
            <v>2.0429074034129351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300.18602608171352</v>
      </c>
      <c r="G2" s="3">
        <f t="shared" ref="G2:K2" si="0">G3+G8+G11+G12+G16+G17+G18+G19</f>
        <v>295.45268847847308</v>
      </c>
      <c r="H2" s="3">
        <f t="shared" si="0"/>
        <v>329.78473221508278</v>
      </c>
      <c r="I2" s="3">
        <f t="shared" si="0"/>
        <v>369.92535541919341</v>
      </c>
      <c r="J2" s="3">
        <f t="shared" si="0"/>
        <v>372.61283998688032</v>
      </c>
      <c r="K2" s="3">
        <f t="shared" si="0"/>
        <v>383.81670131302513</v>
      </c>
      <c r="L2" s="3">
        <f t="shared" ref="L2" si="1">L3+L8+L11+L12+L16+L17+L18+L19</f>
        <v>405.31261921208221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44.97243534260808</v>
      </c>
      <c r="G3" s="1">
        <f t="shared" ref="G3:K3" si="4">SUM(G4:G7)</f>
        <v>48.190470921063309</v>
      </c>
      <c r="H3" s="1">
        <f t="shared" si="4"/>
        <v>48.190518046394359</v>
      </c>
      <c r="I3" s="1">
        <f t="shared" si="4"/>
        <v>48.190519675321539</v>
      </c>
      <c r="J3" s="1">
        <f t="shared" si="4"/>
        <v>48.530379652884832</v>
      </c>
      <c r="K3" s="1">
        <f t="shared" si="4"/>
        <v>49.300940728338986</v>
      </c>
      <c r="L3" s="1">
        <f t="shared" ref="L3" si="5">SUM(L4:L7)</f>
        <v>49.300940693431315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11.111878213818668</v>
      </c>
      <c r="G4" s="1" cm="1">
        <f t="array" ref="G4">SUMPRODUCT(("RNWWOD1"=[1]OUT_PrimaryEnergyCons!$A$1:$A$1000)*1,[1]OUT_PrimaryEnergyCons!E$1:E$1000)</f>
        <v>11.952883852329043</v>
      </c>
      <c r="H4" s="1" cm="1">
        <f t="array" ref="H4">SUMPRODUCT(("RNWWOD1"=[1]OUT_PrimaryEnergyCons!$A$1:$A$1000)*1,[1]OUT_PrimaryEnergyCons!F$1:F$1000)</f>
        <v>13.214393722284331</v>
      </c>
      <c r="I4" s="1" cm="1">
        <f t="array" ref="I4">SUMPRODUCT(("RNWWOD1"=[1]OUT_PrimaryEnergyCons!$A$1:$A$1000)*1,[1]OUT_PrimaryEnergyCons!G$1:G$1000)</f>
        <v>15.316910326063205</v>
      </c>
      <c r="J4" s="1" cm="1">
        <f t="array" ref="J4">SUMPRODUCT(("RNWWOD1"=[2]OUT_PrimaryEnergyCons!$A$1:$A$1000)*1,[2]OUT_PrimaryEnergyCons!H$1:H$1000)</f>
        <v>15.849139756754823</v>
      </c>
      <c r="K4" s="1" cm="1">
        <f t="array" ref="K4">SUMPRODUCT(("RNWWOD1"=[2]OUT_PrimaryEnergyCons!$A$1:$A$1000)*1,[2]OUT_PrimaryEnergyCons!I$1:I$1000)</f>
        <v>16.26639674257331</v>
      </c>
      <c r="L4" s="1" cm="1">
        <f t="array" ref="L4">SUMPRODUCT(("RNWWOD1"=[2]OUT_PrimaryEnergyCons!$A$1:$A$1000)*1,[2]OUT_PrimaryEnergyCons!J$1:J$1000)</f>
        <v>16.95699428453835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7.511671348406523</v>
      </c>
      <c r="G5" s="1" cm="1">
        <f t="array" ref="G5">SUMPRODUCT(("RNWWOD2"=[1]OUT_PrimaryEnergyCons!$A$1:$A$1000)*1,[1]OUT_PrimaryEnergyCons!E$1:E$1000)</f>
        <v>7.5431417282590161</v>
      </c>
      <c r="H5" s="1" cm="1">
        <f t="array" ref="H5">SUMPRODUCT(("RNWWOD2"=[1]OUT_PrimaryEnergyCons!$A$1:$A$1000)*1,[1]OUT_PrimaryEnergyCons!F$1:F$1000)</f>
        <v>7.5903487008532862</v>
      </c>
      <c r="I5" s="1" cm="1">
        <f t="array" ref="I5">SUMPRODUCT(("RNWWOD2"=[1]OUT_PrimaryEnergyCons!$A$1:$A$1000)*1,[1]OUT_PrimaryEnergyCons!G$1:G$1000)</f>
        <v>7.6690271540081607</v>
      </c>
      <c r="J5" s="1" cm="1">
        <f t="array" ref="J5">SUMPRODUCT(("RNWWOD2"=[2]OUT_PrimaryEnergyCons!$A$1:$A$1000)*1,[2]OUT_PrimaryEnergyCons!H$1:H$1000)</f>
        <v>7.6690269991885893</v>
      </c>
      <c r="K5" s="1" cm="1">
        <f t="array" ref="K5">SUMPRODUCT(("RNWWOD2"=[2]OUT_PrimaryEnergyCons!$A$1:$A$1000)*1,[2]OUT_PrimaryEnergyCons!I$1:I$1000)</f>
        <v>7.6690270829166804</v>
      </c>
      <c r="L5" s="1" cm="1">
        <f t="array" ref="L5">SUMPRODUCT(("RNWWOD2"=[2]OUT_PrimaryEnergyCons!$A$1:$A$1000)*1,[2]OUT_PrimaryEnergyCons!J$1:J$1000)</f>
        <v>7.6690271544650699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3.1682451864176526</v>
      </c>
      <c r="G6" s="1" cm="1">
        <f t="array" ref="G6">SUMPRODUCT(("RNWWOD3"=[1]OUT_PrimaryEnergyCons!$A$1:$A$1000)*1,[1]OUT_PrimaryEnergyCons!E$1:E$1000)</f>
        <v>3.4956727093226689</v>
      </c>
      <c r="H6" s="1" cm="1">
        <f t="array" ref="H6">SUMPRODUCT(("RNWWOD3"=[1]OUT_PrimaryEnergyCons!$A$1:$A$1000)*1,[1]OUT_PrimaryEnergyCons!F$1:F$1000)</f>
        <v>3.9868152394287297</v>
      </c>
      <c r="I6" s="1" cm="1">
        <f t="array" ref="I6">SUMPRODUCT(("RNWWOD3"=[1]OUT_PrimaryEnergyCons!$A$1:$A$1000)*1,[1]OUT_PrimaryEnergyCons!G$1:G$1000)</f>
        <v>4.8053865474766759</v>
      </c>
      <c r="J6" s="1" cm="1">
        <f t="array" ref="J6">SUMPRODUCT(("RNWWOD3"=[2]OUT_PrimaryEnergyCons!$A$1:$A$1000)*1,[2]OUT_PrimaryEnergyCons!H$1:H$1000)</f>
        <v>4.8053863553524865</v>
      </c>
      <c r="K6" s="1" cm="1">
        <f t="array" ref="K6">SUMPRODUCT(("RNWWOD3"=[2]OUT_PrimaryEnergyCons!$A$1:$A$1000)*1,[2]OUT_PrimaryEnergyCons!I$1:I$1000)</f>
        <v>4.8053864762240774</v>
      </c>
      <c r="L6" s="1" cm="1">
        <f t="array" ref="L6">SUMPRODUCT(("RNWWOD3"=[2]OUT_PrimaryEnergyCons!$A$1:$A$1000)*1,[2]OUT_PrimaryEnergyCons!J$1:J$1000)</f>
        <v>4.8053862573809001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23.180640593965236</v>
      </c>
      <c r="G7" s="1" cm="1">
        <f t="array" ref="G7">SUMPRODUCT(("RNWWOD4"=[1]OUT_PrimaryEnergyCons!$A$1:$A$1000)*1+("RNWWOD5"=[1]OUT_PrimaryEnergyCons!$A$1:$A$1000)*1,[1]OUT_PrimaryEnergyCons!E$1:E$1000)</f>
        <v>25.198772631152583</v>
      </c>
      <c r="H7" s="1" cm="1">
        <f t="array" ref="H7">SUMPRODUCT(("RNWWOD4"=[1]OUT_PrimaryEnergyCons!$A$1:$A$1000)*1+("RNWWOD5"=[1]OUT_PrimaryEnergyCons!$A$1:$A$1000)*1,[1]OUT_PrimaryEnergyCons!F$1:F$1000)</f>
        <v>23.398960383828015</v>
      </c>
      <c r="I7" s="1" cm="1">
        <f t="array" ref="I7">SUMPRODUCT(("RNWWOD4"=[1]OUT_PrimaryEnergyCons!$A$1:$A$1000)*1+("RNWWOD5"=[1]OUT_PrimaryEnergyCons!$A$1:$A$1000)*1,[1]OUT_PrimaryEnergyCons!G$1:G$1000)</f>
        <v>20.399195647773499</v>
      </c>
      <c r="J7" s="1" cm="1">
        <f t="array" ref="J7">SUMPRODUCT(("RNWWOD4"=[2]OUT_PrimaryEnergyCons!$A$1:$A$1000)*1+("RNWWOD5"=[2]OUT_PrimaryEnergyCons!$A$1:$A$1000)*1,[2]OUT_PrimaryEnergyCons!H$1:H$1000)</f>
        <v>20.206826541588931</v>
      </c>
      <c r="K7" s="1" cm="1">
        <f t="array" ref="K7">SUMPRODUCT(("RNWWOD4"=[2]OUT_PrimaryEnergyCons!$A$1:$A$1000)*1+("RNWWOD5"=[2]OUT_PrimaryEnergyCons!$A$1:$A$1000)*1,[2]OUT_PrimaryEnergyCons!I$1:I$1000)</f>
        <v>20.560130426624916</v>
      </c>
      <c r="L7" s="1" cm="1">
        <f t="array" ref="L7">SUMPRODUCT(("RNWWOD4"=[2]OUT_PrimaryEnergyCons!$A$1:$A$1000)*1+("RNWWOD5"=[2]OUT_PrimaryEnergyCons!$A$1:$A$1000)*1,[2]OUT_PrimaryEnergyCons!J$1:J$1000)</f>
        <v>19.869532997046996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70.031507525952819</v>
      </c>
      <c r="G8" s="1">
        <f t="shared" ref="G8:K8" si="9">SUM(G9:G10)</f>
        <v>70.696978637661886</v>
      </c>
      <c r="H8" s="1">
        <f t="shared" si="9"/>
        <v>70.30407000901107</v>
      </c>
      <c r="I8" s="1">
        <f t="shared" si="9"/>
        <v>69.854559989066217</v>
      </c>
      <c r="J8" s="1">
        <f t="shared" si="9"/>
        <v>69.038006022248155</v>
      </c>
      <c r="K8" s="1">
        <f t="shared" si="9"/>
        <v>69.259870341772142</v>
      </c>
      <c r="L8" s="1">
        <f t="shared" ref="L8" si="10">SUM(L9:L10)</f>
        <v>69.703598225605049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35.931071219635335</v>
      </c>
      <c r="G9" s="1" cm="1">
        <f t="array" ref="G9">SUMPRODUCT(("RNNWWST1"=[1]OUT_PrimaryEnergyCons!$A$1:$A$1000)*1,[1]OUT_PrimaryEnergyCons!E$1:E$1000)</f>
        <v>35.882383983203951</v>
      </c>
      <c r="H9" s="1" cm="1">
        <f t="array" ref="H9">SUMPRODUCT(("RNNWWST1"=[1]OUT_PrimaryEnergyCons!$A$1:$A$1000)*1,[1]OUT_PrimaryEnergyCons!F$1:F$1000)</f>
        <v>35.489472801443291</v>
      </c>
      <c r="I9" s="1" cm="1">
        <f t="array" ref="I9">SUMPRODUCT(("RNNWWST1"=[1]OUT_PrimaryEnergyCons!$A$1:$A$1000)*1,[1]OUT_PrimaryEnergyCons!G$1:G$1000)</f>
        <v>35.039964672616627</v>
      </c>
      <c r="J9" s="1" cm="1">
        <f t="array" ref="J9">SUMPRODUCT(("RNNWWST1"=[2]OUT_PrimaryEnergyCons!$A$1:$A$1000)*1,[2]OUT_PrimaryEnergyCons!H$1:H$1000)</f>
        <v>34.937584040026394</v>
      </c>
      <c r="K9" s="1" cm="1">
        <f t="array" ref="K9">SUMPRODUCT(("RNNWWST1"=[2]OUT_PrimaryEnergyCons!$A$1:$A$1000)*1,[2]OUT_PrimaryEnergyCons!I$1:I$1000)</f>
        <v>35.159448323812484</v>
      </c>
      <c r="L9" s="1" cm="1">
        <f t="array" ref="L9">SUMPRODUCT(("RNNWWST1"=[2]OUT_PrimaryEnergyCons!$A$1:$A$1000)*1,[2]OUT_PrimaryEnergyCons!J$1:J$1000)</f>
        <v>35.603175772780908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34.100436306317484</v>
      </c>
      <c r="G10" s="1" cm="1">
        <f t="array" ref="G10">SUMPRODUCT(("RNWWST1"=[1]OUT_PrimaryEnergyCons!$A$1:$A$1000)*1,[1]OUT_PrimaryEnergyCons!E$1:E$1000)</f>
        <v>34.814594654457927</v>
      </c>
      <c r="H10" s="1" cm="1">
        <f t="array" ref="H10">SUMPRODUCT(("RNWWST1"=[1]OUT_PrimaryEnergyCons!$A$1:$A$1000)*1,[1]OUT_PrimaryEnergyCons!F$1:F$1000)</f>
        <v>34.814597207567772</v>
      </c>
      <c r="I10" s="1" cm="1">
        <f t="array" ref="I10">SUMPRODUCT(("RNWWST1"=[1]OUT_PrimaryEnergyCons!$A$1:$A$1000)*1,[1]OUT_PrimaryEnergyCons!G$1:G$1000)</f>
        <v>34.814595316449584</v>
      </c>
      <c r="J10" s="1" cm="1">
        <f t="array" ref="J10">SUMPRODUCT(("RNWWST1"=[2]OUT_PrimaryEnergyCons!$A$1:$A$1000)*1,[2]OUT_PrimaryEnergyCons!H$1:H$1000)</f>
        <v>34.100421982221761</v>
      </c>
      <c r="K10" s="1" cm="1">
        <f t="array" ref="K10">SUMPRODUCT(("RNWWST1"=[2]OUT_PrimaryEnergyCons!$A$1:$A$1000)*1,[2]OUT_PrimaryEnergyCons!I$1:I$1000)</f>
        <v>34.100422017959659</v>
      </c>
      <c r="L10" s="1" cm="1">
        <f t="array" ref="L10">SUMPRODUCT(("RNWWST1"=[2]OUT_PrimaryEnergyCons!$A$1:$A$1000)*1,[2]OUT_PrimaryEnergyCons!J$1:J$1000)</f>
        <v>34.100422452824148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3.798085649147819</v>
      </c>
      <c r="G11" s="1" cm="1">
        <f t="array" ref="G11">SUMPRODUCT(("mnr"=[1]OUT_PrimaryEnergyCons!$C$1:$C$1000)*1,[1]OUT_PrimaryEnergyCons!E$1:E$1000)</f>
        <v>12.115548025655132</v>
      </c>
      <c r="H11" s="1" cm="1">
        <f t="array" ref="H11">SUMPRODUCT(("mnr"=[1]OUT_PrimaryEnergyCons!$C$1:$C$1000)*1,[1]OUT_PrimaryEnergyCons!F$1:F$1000)</f>
        <v>12.540331484817028</v>
      </c>
      <c r="I11" s="1" cm="1">
        <f t="array" ref="I11">SUMPRODUCT(("mnr"=[1]OUT_PrimaryEnergyCons!$C$1:$C$1000)*1,[1]OUT_PrimaryEnergyCons!G$1:G$1000)</f>
        <v>12.540425793035288</v>
      </c>
      <c r="J11" s="1" cm="1">
        <f t="array" ref="J11">SUMPRODUCT(("mnr"=[2]OUT_PrimaryEnergyCons!$C$1:$C$1000)*1,[2]OUT_PrimaryEnergyCons!H$1:H$1000)</f>
        <v>12.540427013672588</v>
      </c>
      <c r="K11" s="1" cm="1">
        <f t="array" ref="K11">SUMPRODUCT(("mnr"=[2]OUT_PrimaryEnergyCons!$C$1:$C$1000)*1,[2]OUT_PrimaryEnergyCons!I$1:I$1000)</f>
        <v>12.541395046064032</v>
      </c>
      <c r="L11" s="1" cm="1">
        <f t="array" ref="L11">SUMPRODUCT(("mnr"=[2]OUT_PrimaryEnergyCons!$C$1:$C$1000)*1,[2]OUT_PrimaryEnergyCons!J$1:J$1000)</f>
        <v>12.541395542708488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149.43048165857232</v>
      </c>
      <c r="G12" s="1">
        <f t="shared" ref="G12:K12" si="11">SUM(G13:G15)</f>
        <v>125.60470577767911</v>
      </c>
      <c r="H12" s="1">
        <f t="shared" si="11"/>
        <v>137.62371386910246</v>
      </c>
      <c r="I12" s="1">
        <f t="shared" si="11"/>
        <v>150.6245500727326</v>
      </c>
      <c r="J12" s="1">
        <f t="shared" si="11"/>
        <v>150.09591209457983</v>
      </c>
      <c r="K12" s="1">
        <f t="shared" si="11"/>
        <v>150.11978576692744</v>
      </c>
      <c r="L12" s="1">
        <f t="shared" ref="L12" si="12">SUM(L13:L15)</f>
        <v>150.16835769626354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66.745679999995161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49.798799902568817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69.098091987387846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70.384657838973283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71.044264689717764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72.128987484440245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74.298727753074118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66.632400218261907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55.76400049992705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65.549520725005422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64.46572592756182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63.378495368763765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62.293772492353952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60.124031879381107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16.052401440315233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20.041905375183251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2.9761011567091971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15.77416630619749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15.673152036098301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15.697025790133242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15.745598063808321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12.556465000061728</v>
      </c>
      <c r="G16" s="1" cm="1">
        <f t="array" ref="G16">SUMPRODUCT(ISNUMBER(SEARCH("SOL",[1]OUT_PrimaryEnergyCons!$C$1:$C$1000))*1,[1]OUT_PrimaryEnergyCons!E$1:E$1000)</f>
        <v>16.522192758234073</v>
      </c>
      <c r="H16" s="1" cm="1">
        <f t="array" ref="H16">SUMPRODUCT(ISNUMBER(SEARCH("SOL",[1]OUT_PrimaryEnergyCons!$C$1:$C$1000))*1,[1]OUT_PrimaryEnergyCons!F$1:F$1000)</f>
        <v>30.34331457243988</v>
      </c>
      <c r="I16" s="1" cm="1">
        <f t="array" ref="I16">SUMPRODUCT(ISNUMBER(SEARCH("SOL",[1]OUT_PrimaryEnergyCons!$C$1:$C$1000))*1,[1]OUT_PrimaryEnergyCons!G$1:G$1000)</f>
        <v>40.766964163093263</v>
      </c>
      <c r="J16" s="1" cm="1">
        <f t="array" ref="J16">SUMPRODUCT(ISNUMBER(SEARCH("SOL",[2]OUT_PrimaryEnergyCons!$C$1:$C$1000))*1,[2]OUT_PrimaryEnergyCons!H$1:H$1000)</f>
        <v>34.882924874053963</v>
      </c>
      <c r="K16" s="1" cm="1">
        <f t="array" ref="K16">SUMPRODUCT(ISNUMBER(SEARCH("SOL",[2]OUT_PrimaryEnergyCons!$C$1:$C$1000))*1,[2]OUT_PrimaryEnergyCons!I$1:I$1000)</f>
        <v>36.744751341664646</v>
      </c>
      <c r="L16" s="1" cm="1">
        <f t="array" ref="L16">SUMPRODUCT(ISNUMBER(SEARCH("SOL",[2]OUT_PrimaryEnergyCons!$C$1:$C$1000))*1,[2]OUT_PrimaryEnergyCons!J$1:J$1000)</f>
        <v>40.532113898265692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0.52400642375679729</v>
      </c>
      <c r="G17" s="1" cm="1">
        <f t="array" ref="G17">SUMPRODUCT(ISNUMBER(SEARCH("wnd",[1]OUT_PrimaryEnergyCons!$C$1:$C$1000))*1,[1]OUT_PrimaryEnergyCons!E$1:E$1000)</f>
        <v>0.54529296852200548</v>
      </c>
      <c r="H17" s="1" cm="1">
        <f t="array" ref="H17">SUMPRODUCT(ISNUMBER(SEARCH("wnd",[1]OUT_PrimaryEnergyCons!$C$1:$C$1000))*1,[1]OUT_PrimaryEnergyCons!F$1:F$1000)</f>
        <v>0.50316556827708514</v>
      </c>
      <c r="I17" s="1" cm="1">
        <f t="array" ref="I17">SUMPRODUCT(ISNUMBER(SEARCH("wnd",[1]OUT_PrimaryEnergyCons!$C$1:$C$1000))*1,[1]OUT_PrimaryEnergyCons!G$1:G$1000)</f>
        <v>2.0502669905397286</v>
      </c>
      <c r="J17" s="1" cm="1">
        <f t="array" ref="J17">SUMPRODUCT(ISNUMBER(SEARCH("wnd",[2]OUT_PrimaryEnergyCons!$C$1:$C$1000))*1,[2]OUT_PrimaryEnergyCons!H$1:H$1000)</f>
        <v>0.8754355541947223</v>
      </c>
      <c r="K17" s="1" cm="1">
        <f t="array" ref="K17">SUMPRODUCT(ISNUMBER(SEARCH("wnd",[2]OUT_PrimaryEnergyCons!$C$1:$C$1000))*1,[2]OUT_PrimaryEnergyCons!I$1:I$1000)</f>
        <v>0.87543599997744836</v>
      </c>
      <c r="L17" s="1" cm="1">
        <f t="array" ref="L17">SUMPRODUCT(ISNUMBER(SEARCH("wnd",[2]OUT_PrimaryEnergyCons!$C$1:$C$1000))*1,[2]OUT_PrimaryEnergyCons!J$1:J$1000)</f>
        <v>0.875434405817892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18.873044481613956</v>
      </c>
      <c r="G18" s="1">
        <f>[1]Overview!C$9-G19</f>
        <v>21.777499389657525</v>
      </c>
      <c r="H18" s="1">
        <f>[1]Overview!D$9-H19</f>
        <v>30.279618665040868</v>
      </c>
      <c r="I18" s="1">
        <f>[1]Overview!E$9-I19</f>
        <v>45.898068735404799</v>
      </c>
      <c r="J18" s="1">
        <f>[2]Overview!F$9-J19</f>
        <v>56.649754775246201</v>
      </c>
      <c r="K18" s="1">
        <f>[2]Overview!G$9-K19</f>
        <v>64.973651642325024</v>
      </c>
      <c r="L18" s="1">
        <f>[2]Overview!H$9-L19</f>
        <v>82.186332728037357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8.7044595539577418E-4</v>
      </c>
      <c r="L19" s="1">
        <f>+[2]Overview!H$28</f>
        <v>4.4460219529112565E-3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779.29670168180587</v>
      </c>
      <c r="G20" s="3">
        <f t="shared" si="13"/>
        <v>700.84943638959157</v>
      </c>
      <c r="H20" s="3">
        <f t="shared" si="13"/>
        <v>657.91151382754924</v>
      </c>
      <c r="I20" s="3">
        <f t="shared" si="13"/>
        <v>553.0312341315248</v>
      </c>
      <c r="J20" s="3">
        <f t="shared" si="13"/>
        <v>487.32398706596496</v>
      </c>
      <c r="K20" s="3">
        <f t="shared" si="13"/>
        <v>441.12990808269706</v>
      </c>
      <c r="L20" s="3">
        <f t="shared" ref="L20" si="14">SUM(L21:L22,L41,L50:L51,L56)</f>
        <v>439.71417232347181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3.6600053352139246</v>
      </c>
      <c r="G21" s="1" cm="1">
        <f t="array" ref="G21">SUMPRODUCT(("COA"=[1]OUT_PrimaryEnergyCons!$C$4:$C$10000)*1,[1]OUT_PrimaryEnergyCons!E$4:E$10000)</f>
        <v>3.5647180569304484</v>
      </c>
      <c r="H21" s="1" cm="1">
        <f t="array" ref="H21">SUMPRODUCT(("COA"=[1]OUT_PrimaryEnergyCons!$C$4:$C$10000)*1,[1]OUT_PrimaryEnergyCons!F$4:F$10000)</f>
        <v>3.3672800381153882</v>
      </c>
      <c r="I21" s="1" cm="1">
        <f t="array" ref="I21">SUMPRODUCT(("COA"=[1]OUT_PrimaryEnergyCons!$C$4:$C$10000)*1,[1]OUT_PrimaryEnergyCons!G$4:G$10000)</f>
        <v>6.2984430927136275E-3</v>
      </c>
      <c r="J21" s="1" cm="1">
        <f t="array" ref="J21">SUMPRODUCT(("COA"=[2]OUT_PrimaryEnergyCons!$C$4:$C$10000)*1,[2]OUT_PrimaryEnergyCons!H$4:H$10000)</f>
        <v>4.1100097937092492E-4</v>
      </c>
      <c r="K21" s="1" cm="1">
        <f t="array" ref="K21">SUMPRODUCT(("COA"=[2]OUT_PrimaryEnergyCons!$C$4:$C$10000)*1,[2]OUT_PrimaryEnergyCons!I$4:I$10000)</f>
        <v>7.596573910203059E-5</v>
      </c>
      <c r="L21" s="1" cm="1">
        <f t="array" ref="L21">SUMPRODUCT(("COA"=[2]OUT_PrimaryEnergyCons!$C$4:$C$10000)*1,[2]OUT_PrimaryEnergyCons!J$4:J$10000)</f>
        <v>2.8280544849642935E-4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310.48071753532099</v>
      </c>
      <c r="G22" s="1">
        <f t="shared" ref="G22:K22" si="15">G23+G29</f>
        <v>286.47395305645483</v>
      </c>
      <c r="H22" s="1">
        <f t="shared" si="15"/>
        <v>263.66721080045807</v>
      </c>
      <c r="I22" s="1">
        <f t="shared" si="15"/>
        <v>186.63073000034581</v>
      </c>
      <c r="J22" s="1">
        <f t="shared" si="15"/>
        <v>131.20339712370799</v>
      </c>
      <c r="K22" s="1">
        <f t="shared" si="15"/>
        <v>106.70770131956303</v>
      </c>
      <c r="L22" s="1">
        <f t="shared" ref="L22" si="16">L23+L29</f>
        <v>66.401371203564096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303.67559664876916</v>
      </c>
      <c r="G23" s="1">
        <f t="shared" ref="G23:K23" si="20">SUM(G24:G28)</f>
        <v>279.76995589187948</v>
      </c>
      <c r="H23" s="1">
        <f t="shared" si="20"/>
        <v>256.4863474859086</v>
      </c>
      <c r="I23" s="1">
        <f t="shared" si="20"/>
        <v>174.92568279325724</v>
      </c>
      <c r="J23" s="1">
        <f t="shared" si="20"/>
        <v>121.57482853625677</v>
      </c>
      <c r="K23" s="1">
        <f t="shared" si="20"/>
        <v>97.186183240388871</v>
      </c>
      <c r="L23" s="1">
        <f t="shared" ref="L23" si="21">SUM(L24:L28)</f>
        <v>58.62045324597841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101.72708482972673</v>
      </c>
      <c r="G24" s="1" cm="1">
        <f t="array" ref="G24">SUMPRODUCT(("LFO"=[1]OUT_PrimaryEnergyCons!$C$4:$C$10000)*1,[1]OUT_PrimaryEnergyCons!E$4:E$10000)</f>
        <v>88.213218937770236</v>
      </c>
      <c r="H24" s="1" cm="1">
        <f t="array" ref="H24">SUMPRODUCT(("LFO"=[1]OUT_PrimaryEnergyCons!$C$4:$C$10000)*1,[1]OUT_PrimaryEnergyCons!F$4:F$10000)</f>
        <v>87.829415595172208</v>
      </c>
      <c r="I24" s="1" cm="1">
        <f t="array" ref="I24">SUMPRODUCT(("LFO"=[1]OUT_PrimaryEnergyCons!$C$4:$C$10000)*1,[1]OUT_PrimaryEnergyCons!G$4:G$10000)</f>
        <v>60.373687305546881</v>
      </c>
      <c r="J24" s="1" cm="1">
        <f t="array" ref="J24">SUMPRODUCT(("LFO"=[2]OUT_PrimaryEnergyCons!$C$4:$C$10000)*1,[2]OUT_PrimaryEnergyCons!H$4:H$10000)</f>
        <v>45.426260300751686</v>
      </c>
      <c r="K24" s="1" cm="1">
        <f t="array" ref="K24">SUMPRODUCT(("LFO"=[2]OUT_PrimaryEnergyCons!$C$4:$C$10000)*1,[2]OUT_PrimaryEnergyCons!I$4:I$10000)</f>
        <v>34.053433165786565</v>
      </c>
      <c r="L24" s="1" cm="1">
        <f t="array" ref="L24">SUMPRODUCT(("LFO"=[2]OUT_PrimaryEnergyCons!$C$4:$C$10000)*1,[2]OUT_PrimaryEnergyCons!J$4:J$10000)</f>
        <v>11.665400259633792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2.7763729691048495</v>
      </c>
      <c r="G25" s="1" cm="1">
        <f t="array" ref="G25">SUMPRODUCT(("HFO"=[1]OUT_PrimaryEnergyCons!$C$4:$C$10000)*1,[1]OUT_PrimaryEnergyCons!E$4:E$10000)</f>
        <v>2.7644096080017775</v>
      </c>
      <c r="H25" s="1" cm="1">
        <f t="array" ref="H25">SUMPRODUCT(("HFO"=[1]OUT_PrimaryEnergyCons!$C$4:$C$10000)*1,[1]OUT_PrimaryEnergyCons!F$4:F$10000)</f>
        <v>1.1874232333030327E-3</v>
      </c>
      <c r="I25" s="1" cm="1">
        <f t="array" ref="I25">SUMPRODUCT(("HFO"=[1]OUT_PrimaryEnergyCons!$C$4:$C$10000)*1,[1]OUT_PrimaryEnergyCons!G$4:G$10000)</f>
        <v>2.1723863373345604E-4</v>
      </c>
      <c r="J25" s="1" cm="1">
        <f t="array" ref="J25">SUMPRODUCT(("HFO"=[2]OUT_PrimaryEnergyCons!$C$4:$C$10000)*1,[2]OUT_PrimaryEnergyCons!H$4:H$10000)</f>
        <v>1.9514684178969011E-4</v>
      </c>
      <c r="K25" s="1" cm="1">
        <f t="array" ref="K25">SUMPRODUCT(("HFO"=[2]OUT_PrimaryEnergyCons!$C$4:$C$10000)*1,[2]OUT_PrimaryEnergyCons!I$4:I$10000)</f>
        <v>9.2012590721277923E-5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117.52488736368969</v>
      </c>
      <c r="G26" s="1" cm="1">
        <f t="array" ref="G26">SUMPRODUCT(("DSL"=[1]OUT_PrimaryEnergyCons!$C$4:$C$10000)*1,[1]OUT_PrimaryEnergyCons!E$4:E$10000)</f>
        <v>112.68583504147009</v>
      </c>
      <c r="H26" s="1" cm="1">
        <f t="array" ref="H26">SUMPRODUCT(("DSL"=[1]OUT_PrimaryEnergyCons!$C$4:$C$10000)*1,[1]OUT_PrimaryEnergyCons!F$4:F$10000)</f>
        <v>95.748445720999754</v>
      </c>
      <c r="I26" s="1" cm="1">
        <f t="array" ref="I26">SUMPRODUCT(("DSL"=[1]OUT_PrimaryEnergyCons!$C$4:$C$10000)*1,[1]OUT_PrimaryEnergyCons!G$4:G$10000)</f>
        <v>69.136065180247627</v>
      </c>
      <c r="J26" s="1" cm="1">
        <f t="array" ref="J26">SUMPRODUCT(("DSL"=[2]OUT_PrimaryEnergyCons!$C$4:$C$10000)*1,[2]OUT_PrimaryEnergyCons!H$4:H$10000)</f>
        <v>48.500916664891413</v>
      </c>
      <c r="K26" s="1" cm="1">
        <f t="array" ref="K26">SUMPRODUCT(("DSL"=[2]OUT_PrimaryEnergyCons!$C$4:$C$10000)*1,[2]OUT_PrimaryEnergyCons!I$4:I$10000)</f>
        <v>37.127890618488088</v>
      </c>
      <c r="L26" s="1" cm="1">
        <f t="array" ref="L26">SUMPRODUCT(("DSL"=[2]OUT_PrimaryEnergyCons!$C$4:$C$10000)*1,[2]OUT_PrimaryEnergyCons!J$4:J$10000)</f>
        <v>27.405116023282371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80.538262271559617</v>
      </c>
      <c r="G27" s="1" cm="1">
        <f t="array" ref="G27">SUMPRODUCT(("GSL"=[1]OUT_PrimaryEnergyCons!$C$4:$C$10000)*1,[1]OUT_PrimaryEnergyCons!E$4:E$10000)</f>
        <v>74.701288745619181</v>
      </c>
      <c r="H27" s="1" cm="1">
        <f t="array" ref="H27">SUMPRODUCT(("GSL"=[1]OUT_PrimaryEnergyCons!$C$4:$C$10000)*1,[1]OUT_PrimaryEnergyCons!F$4:F$10000)</f>
        <v>71.058841507539654</v>
      </c>
      <c r="I27" s="1" cm="1">
        <f t="array" ref="I27">SUMPRODUCT(("GSL"=[1]OUT_PrimaryEnergyCons!$C$4:$C$10000)*1,[1]OUT_PrimaryEnergyCons!G$4:G$10000)</f>
        <v>42.843897482028098</v>
      </c>
      <c r="J27" s="1" cm="1">
        <f t="array" ref="J27">SUMPRODUCT(("GSL"=[2]OUT_PrimaryEnergyCons!$C$4:$C$10000)*1,[2]OUT_PrimaryEnergyCons!H$4:H$10000)</f>
        <v>26.040204462534401</v>
      </c>
      <c r="K27" s="1" cm="1">
        <f t="array" ref="K27">SUMPRODUCT(("GSL"=[2]OUT_PrimaryEnergyCons!$C$4:$C$10000)*1,[2]OUT_PrimaryEnergyCons!I$4:I$10000)</f>
        <v>25.307666796311594</v>
      </c>
      <c r="L27" s="1" cm="1">
        <f t="array" ref="L27">SUMPRODUCT(("GSL"=[2]OUT_PrimaryEnergyCons!$C$4:$C$10000)*1,[2]OUT_PrimaryEnergyCons!J$4:J$10000)</f>
        <v>19.54993409366147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1.1089892146883049</v>
      </c>
      <c r="G28" s="1" cm="1">
        <f t="array" ref="G28">SUMPRODUCT(("KER"=[1]OUT_PrimaryEnergyCons!$C$4:$C$10000)*1,[1]OUT_PrimaryEnergyCons!E$4:E$10000)</f>
        <v>1.4052035590182419</v>
      </c>
      <c r="H28" s="1" cm="1">
        <f t="array" ref="H28">SUMPRODUCT(("KER"=[1]OUT_PrimaryEnergyCons!$C$4:$C$10000)*1,[1]OUT_PrimaryEnergyCons!F$4:F$10000)</f>
        <v>1.8484572389636504</v>
      </c>
      <c r="I28" s="1" cm="1">
        <f t="array" ref="I28">SUMPRODUCT(("KER"=[1]OUT_PrimaryEnergyCons!$C$4:$C$10000)*1,[1]OUT_PrimaryEnergyCons!G$4:G$10000)</f>
        <v>2.5718155868009052</v>
      </c>
      <c r="J28" s="1" cm="1">
        <f t="array" ref="J28">SUMPRODUCT(("KER"=[2]OUT_PrimaryEnergyCons!$C$4:$C$10000)*1,[2]OUT_PrimaryEnergyCons!H$4:H$10000)</f>
        <v>1.6072519612374747</v>
      </c>
      <c r="K28" s="1" cm="1">
        <f t="array" ref="K28">SUMPRODUCT(("KER"=[2]OUT_PrimaryEnergyCons!$C$4:$C$10000)*1,[2]OUT_PrimaryEnergyCons!I$4:I$10000)</f>
        <v>0.69710064721191412</v>
      </c>
      <c r="L28" s="1" cm="1">
        <f t="array" ref="L28">SUMPRODUCT(("KER"=[2]OUT_PrimaryEnergyCons!$C$4:$C$10000)*1,[2]OUT_PrimaryEnergyCons!J$4:J$10000)</f>
        <v>2.8694007792370032E-6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6.8051208865518049</v>
      </c>
      <c r="G29" s="1">
        <f t="shared" ref="G29:K29" si="25">SUM(G30:G32)</f>
        <v>6.7039971645753589</v>
      </c>
      <c r="H29" s="1">
        <f t="shared" si="25"/>
        <v>7.1808633145494687</v>
      </c>
      <c r="I29" s="1">
        <f t="shared" si="25"/>
        <v>11.705047207088555</v>
      </c>
      <c r="J29" s="1">
        <f t="shared" si="25"/>
        <v>9.6285685874512055</v>
      </c>
      <c r="K29" s="1">
        <f t="shared" si="25"/>
        <v>9.5215180791741503</v>
      </c>
      <c r="L29" s="1">
        <f t="shared" ref="L29" si="26">SUM(L30:L32)</f>
        <v>7.7809179575856922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2.3705794343086715</v>
      </c>
      <c r="G30" s="1" cm="1">
        <f t="array" ref="G30">SUMPRODUCT(ISNUMBER(SEARCH("IMPBDS",[1]OUT_SyntheticFuels!$C$4:$C$1000))*1,("Var_Fout"=[1]OUT_SyntheticFuels!$B$4:$B$1000)*1,[1]OUT_SyntheticFuels!F$4:F$1000)-G32</f>
        <v>2.3780005632590169</v>
      </c>
      <c r="H30" s="1" cm="1">
        <f t="array" ref="H30">SUMPRODUCT(ISNUMBER(SEARCH("IMPBDS",[1]OUT_SyntheticFuels!$C$4:$C$1000))*1,("Var_Fout"=[1]OUT_SyntheticFuels!$B$4:$B$1000)*1,[1]OUT_SyntheticFuels!G$4:G$1000)-H32</f>
        <v>3.295181723845106</v>
      </c>
      <c r="I30" s="1" cm="1">
        <f t="array" ref="I30">SUMPRODUCT(ISNUMBER(SEARCH("IMPBDS",[1]OUT_SyntheticFuels!$C$4:$C$1000))*1,("Var_Fout"=[1]OUT_SyntheticFuels!$B$4:$B$1000)*1,[1]OUT_SyntheticFuels!H$4:H$1000)-I32</f>
        <v>4.1472494018671</v>
      </c>
      <c r="J30" s="1" cm="1">
        <f t="array" ref="J30">SUMPRODUCT(ISNUMBER(SEARCH("IMPBDS",[2]OUT_SyntheticFuels!$C$4:$C$1000))*1,("Var_Fout"=[2]OUT_SyntheticFuels!$B$4:$B$1000)*1,[2]OUT_SyntheticFuels!I$4:I$1000)-J32</f>
        <v>2.0489383322416206</v>
      </c>
      <c r="K30" s="1" cm="1">
        <f t="array" ref="K30">SUMPRODUCT(ISNUMBER(SEARCH("IMPBDS",[2]OUT_SyntheticFuels!$C$4:$C$1000))*1,("Var_Fout"=[2]OUT_SyntheticFuels!$B$4:$B$1000)*1,[2]OUT_SyntheticFuels!J$4:J$1000)-K32</f>
        <v>1.581774270541322</v>
      </c>
      <c r="L30" s="1" cm="1">
        <f t="array" ref="L30">SUMPRODUCT(ISNUMBER(SEARCH("IMPBDS",[2]OUT_SyntheticFuels!$C$4:$C$1000))*1,("Var_Fout"=[2]OUT_SyntheticFuels!$B$4:$B$1000)*1,[2]OUT_SyntheticFuels!K$4:K$1000)-L32</f>
        <v>-8.2349072729476447E-2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4.4341506418825913</v>
      </c>
      <c r="G31" s="1" cm="1">
        <f t="array" ref="G31">SUMPRODUCT(ISNUMBER(SEARCH("IMPeth",[1]OUT_SyntheticFuels!$C$4:$C$1000))*1,("Var_Fout"=[1]OUT_SyntheticFuels!$B$4:$B$1000)*1,[1]OUT_SyntheticFuels!F$4:F$1000)</f>
        <v>4.3259844240819616</v>
      </c>
      <c r="H31" s="1" cm="1">
        <f t="array" ref="H31">SUMPRODUCT(ISNUMBER(SEARCH("IMPeth",[1]OUT_SyntheticFuels!$C$4:$C$1000))*1,("Var_Fout"=[1]OUT_SyntheticFuels!$B$4:$B$1000)*1,[1]OUT_SyntheticFuels!G$4:G$1000)</f>
        <v>3.8851868700954437</v>
      </c>
      <c r="I31" s="1" cm="1">
        <f t="array" ref="I31">SUMPRODUCT(ISNUMBER(SEARCH("IMPeth",[1]OUT_SyntheticFuels!$C$4:$C$1000))*1,("Var_Fout"=[1]OUT_SyntheticFuels!$B$4:$B$1000)*1,[1]OUT_SyntheticFuels!H$4:H$1000)</f>
        <v>2.4820303883816024</v>
      </c>
      <c r="J31" s="1" cm="1">
        <f t="array" ref="J31">SUMPRODUCT(ISNUMBER(SEARCH("IMPeth",[2]OUT_SyntheticFuels!$C$4:$C$1000))*1,("Var_Fout"=[2]OUT_SyntheticFuels!$B$4:$B$1000)*1,[2]OUT_SyntheticFuels!I$4:I$1000)</f>
        <v>1.5724147320600286</v>
      </c>
      <c r="K31" s="1" cm="1">
        <f t="array" ref="K31">SUMPRODUCT(ISNUMBER(SEARCH("IMPeth",[2]OUT_SyntheticFuels!$C$4:$C$1000))*1,("Var_Fout"=[2]OUT_SyntheticFuels!$B$4:$B$1000)*1,[2]OUT_SyntheticFuels!J$4:J$1000)</f>
        <v>1.4656110311705863</v>
      </c>
      <c r="L31" s="1" cm="1">
        <f t="array" ref="L31">SUMPRODUCT(ISNUMBER(SEARCH("IMPeth",[2]OUT_SyntheticFuels!$C$4:$C$1000))*1,("Var_Fout"=[2]OUT_SyntheticFuels!$B$4:$B$1000)*1,[2]OUT_SyntheticFuels!K$4:K$1000)</f>
        <v>1.1321414225150479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3.9081036054261899E-4</v>
      </c>
      <c r="G32" s="1">
        <f>SUM([1]Transport_Aviation_Intl!C$12,[1]Transport!C$28)</f>
        <v>1.2177234380080199E-5</v>
      </c>
      <c r="H32" s="1">
        <f>SUM([1]Transport_Aviation_Intl!D$12,[1]Transport!D$28)</f>
        <v>4.9472060891920101E-4</v>
      </c>
      <c r="I32" s="1">
        <f>SUM([1]Transport_Aviation_Intl!E$12,[1]Transport!E$28)</f>
        <v>5.0757674168398523</v>
      </c>
      <c r="J32" s="1">
        <f>SUM([2]Transport_Aviation_Intl!F$12,[2]Transport!F$28)</f>
        <v>6.0072155231495561</v>
      </c>
      <c r="K32" s="1">
        <f>SUM([2]Transport_Aviation_Intl!G$12,[2]Transport!G$28)</f>
        <v>6.474132777462243</v>
      </c>
      <c r="L32" s="1">
        <f>SUM([2]Transport_Aviation_Intl!H$12,[2]Transport!H$28)</f>
        <v>6.7311256078001209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6.8051208865518049</v>
      </c>
      <c r="G33" s="1">
        <f t="shared" si="27"/>
        <v>6.7039971645753589</v>
      </c>
      <c r="H33" s="1">
        <f t="shared" si="27"/>
        <v>7.1808633145494687</v>
      </c>
      <c r="I33" s="1">
        <f t="shared" si="27"/>
        <v>11.705047207088555</v>
      </c>
      <c r="J33" s="1">
        <f t="shared" si="27"/>
        <v>8.6971204811415017</v>
      </c>
      <c r="K33" s="1">
        <f>SUM(K34:K36)</f>
        <v>9.0546008248614633</v>
      </c>
      <c r="L33" s="1">
        <f>SUM(L34:L36)</f>
        <v>7.5239251272478143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2.3705794343086715</v>
      </c>
      <c r="G34" s="1">
        <f t="shared" si="28"/>
        <v>2.3780005632590169</v>
      </c>
      <c r="H34" s="1">
        <f t="shared" si="28"/>
        <v>3.295181723845106</v>
      </c>
      <c r="I34" s="1">
        <f t="shared" si="28"/>
        <v>4.1472494018671</v>
      </c>
      <c r="J34" s="1">
        <f>IF(J30-MAX(F30:I30)&lt;0,J30,MAX(F30:I30))</f>
        <v>2.0489383322416206</v>
      </c>
      <c r="K34" s="1">
        <f>IF(K30-MAX(F30:J30)&lt;0,K30,MAX(F30:J30))</f>
        <v>1.581774270541322</v>
      </c>
      <c r="L34" s="1">
        <f>IF(L30-MAX(G30:K30)&lt;0,L30,MAX(G30:K30))</f>
        <v>-8.2349072729476447E-2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4.4341506418825913</v>
      </c>
      <c r="G35" s="1">
        <f t="shared" si="28"/>
        <v>4.3259844240819616</v>
      </c>
      <c r="H35" s="1">
        <f t="shared" si="28"/>
        <v>3.8851868700954437</v>
      </c>
      <c r="I35" s="1">
        <f t="shared" si="28"/>
        <v>2.4820303883816024</v>
      </c>
      <c r="J35" s="1">
        <f>IF(J31-MAX(F31:I31)&lt;0,J31,MAX(F31:I31))</f>
        <v>1.5724147320600286</v>
      </c>
      <c r="K35" s="1">
        <f>IF(K31-MAX(F31:J31)&lt;0,K31,MAX(F31:J31))</f>
        <v>1.4656110311705863</v>
      </c>
      <c r="L35" s="1">
        <f>IF(L31-MAX(G31:K31)&lt;0,L31,MAX(G31:K31))</f>
        <v>1.1321414225150479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3.9081036054261899E-4</v>
      </c>
      <c r="G36" s="1">
        <f>SUM([1]Transport!C$28,[1]Transport_Aviation_Intl!C$12)</f>
        <v>1.2177234380080199E-5</v>
      </c>
      <c r="H36" s="1">
        <f>SUM([1]Transport!D$28,[1]Transport_Aviation_Intl!D$12)</f>
        <v>4.9472060891920101E-4</v>
      </c>
      <c r="I36" s="1">
        <f>SUM([1]Transport!E$28,[1]Transport_Aviation_Intl!E$12)</f>
        <v>5.0757674168398523</v>
      </c>
      <c r="J36" s="1">
        <f>IF(J32-MAX(F32:I32)&lt;0,J32,MAX(F32:I32))</f>
        <v>5.0757674168398523</v>
      </c>
      <c r="K36" s="1">
        <f>IF(K32-MAX(G32:J32)&lt;0,K32,MAX(G32:J32))</f>
        <v>6.0072155231495561</v>
      </c>
      <c r="L36" s="1">
        <f>IF(L32-MAX(H32:K32)&lt;0,L32,MAX(H32:K32))</f>
        <v>6.474132777462243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0.93144810630970376</v>
      </c>
      <c r="K37" s="1">
        <f t="shared" si="29"/>
        <v>0.46691725431268694</v>
      </c>
      <c r="L37" s="1">
        <f t="shared" ref="L37" si="30">SUM(L38:L40)</f>
        <v>0.2569928303378779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0.93144810630970376</v>
      </c>
      <c r="K40" s="1">
        <f t="shared" si="31"/>
        <v>0.46691725431268694</v>
      </c>
      <c r="L40" s="1">
        <f t="shared" ref="L40" si="34">L32-L36</f>
        <v>0.2569928303378779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117.04779675687243</v>
      </c>
      <c r="G41" s="1">
        <f t="shared" ref="G41:K41" si="36">G42+G45</f>
        <v>107.23650069597142</v>
      </c>
      <c r="H41" s="1">
        <f t="shared" si="36"/>
        <v>107.19739835677576</v>
      </c>
      <c r="I41" s="1">
        <f t="shared" si="36"/>
        <v>103.74283725623924</v>
      </c>
      <c r="J41" s="1">
        <f t="shared" si="36"/>
        <v>109.2978392702812</v>
      </c>
      <c r="K41" s="1">
        <f t="shared" si="36"/>
        <v>102.85834080002624</v>
      </c>
      <c r="L41" s="1">
        <f t="shared" ref="L41" si="37">L42+L45</f>
        <v>82.526996454955622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117.04779675687243</v>
      </c>
      <c r="G42" s="1">
        <f t="shared" ref="G42:K42" si="38">G43+G44</f>
        <v>106.71999995850206</v>
      </c>
      <c r="H42" s="1">
        <f t="shared" si="38"/>
        <v>107.15776278528217</v>
      </c>
      <c r="I42" s="1">
        <f t="shared" si="38"/>
        <v>101.03270197674955</v>
      </c>
      <c r="J42" s="1">
        <f t="shared" si="38"/>
        <v>103.37913965028666</v>
      </c>
      <c r="K42" s="1">
        <f t="shared" si="38"/>
        <v>96.820494285439977</v>
      </c>
      <c r="L42" s="1">
        <f t="shared" ref="L42" si="39">L43+L44</f>
        <v>76.245606957270752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117.04779675687243</v>
      </c>
      <c r="G43" s="1" cm="1">
        <f t="array" ref="G43">SUMPRODUCT(("NGA"=[1]OUT_PrimaryEnergyCons!$C$4:$C$10000)*1,[1]OUT_PrimaryEnergyCons!E$4:E$10000)</f>
        <v>106.71999995850206</v>
      </c>
      <c r="H43" s="1" cm="1">
        <f t="array" ref="H43">SUMPRODUCT(("NGA"=[1]OUT_PrimaryEnergyCons!$C$4:$C$10000)*1,[1]OUT_PrimaryEnergyCons!F$4:F$10000)</f>
        <v>107.15776278528217</v>
      </c>
      <c r="I43" s="1" cm="1">
        <f t="array" ref="I43">SUMPRODUCT(("NGA"=[1]OUT_PrimaryEnergyCons!$C$4:$C$10000)*1,[1]OUT_PrimaryEnergyCons!G$4:G$10000)</f>
        <v>101.03240281673969</v>
      </c>
      <c r="J43" s="1" cm="1">
        <f t="array" ref="J43">SUMPRODUCT(("NGA"=[2]OUT_PrimaryEnergyCons!$C$4:$C$10000)*1,[2]OUT_PrimaryEnergyCons!H$4:H$10000)</f>
        <v>103.3788407930529</v>
      </c>
      <c r="K43" s="1" cm="1">
        <f t="array" ref="K43">SUMPRODUCT(("NGA"=[2]OUT_PrimaryEnergyCons!$C$4:$C$10000)*1,[2]OUT_PrimaryEnergyCons!I$4:I$10000)</f>
        <v>96.820407226498915</v>
      </c>
      <c r="L43" s="1" cm="1">
        <f t="array" ref="L43">SUMPRODUCT(("NGA"=[2]OUT_PrimaryEnergyCons!$C$4:$C$10000)*1,[2]OUT_PrimaryEnergyCons!J$4:J$10000)</f>
        <v>76.245457856863837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2.991600098631315E-4</v>
      </c>
      <c r="J44" s="1" cm="1">
        <f t="array" ref="J44">SUMPRODUCT(("LNGA"=[2]OUT_PrimaryEnergyCons!$C$4:$C$10000)*1,[2]OUT_PrimaryEnergyCons!H$4:H$10000)</f>
        <v>2.9885723376467773E-4</v>
      </c>
      <c r="K44" s="1" cm="1">
        <f t="array" ref="K44">SUMPRODUCT(("LNGA"=[2]OUT_PrimaryEnergyCons!$C$4:$C$10000)*1,[2]OUT_PrimaryEnergyCons!I$4:I$10000)</f>
        <v>8.7058941063537473E-5</v>
      </c>
      <c r="L44" s="1" cm="1">
        <f t="array" ref="L44">SUMPRODUCT(("LNGA"=[2]OUT_PrimaryEnergyCons!$C$4:$C$10000)*1,[2]OUT_PrimaryEnergyCons!J$4:J$10000)</f>
        <v>1.4910040692113231E-4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0.51650073746935232</v>
      </c>
      <c r="H45" s="1" cm="1">
        <f t="array" ref="H45">SUMPRODUCT(("BIO"=[1]OUT_PrimaryEnergyCons!$C$4:$C$10000)*1+("LBIO"=[1]OUT_PrimaryEnergyCons!$C$4:$C$10000)*1,[1]OUT_PrimaryEnergyCons!F$4:F$10000)</f>
        <v>3.9635571493592869E-2</v>
      </c>
      <c r="I45" s="1" cm="1">
        <f t="array" ref="I45">SUMPRODUCT(("BIO"=[1]OUT_PrimaryEnergyCons!$C$4:$C$10000)*1+("LBIO"=[1]OUT_PrimaryEnergyCons!$C$4:$C$10000)*1,[1]OUT_PrimaryEnergyCons!G$4:G$10000)</f>
        <v>2.7101352794896929</v>
      </c>
      <c r="J45" s="1" cm="1">
        <f t="array" ref="J45">SUMPRODUCT(("BIO"=[2]OUT_PrimaryEnergyCons!$C$4:$C$10000)*1+("LBIO"=[2]OUT_PrimaryEnergyCons!$C$4:$C$10000)*1,[2]OUT_PrimaryEnergyCons!H$4:H$10000)</f>
        <v>5.9186996199945474</v>
      </c>
      <c r="K45" s="1" cm="1">
        <f t="array" ref="K45">SUMPRODUCT(("BIO"=[2]OUT_PrimaryEnergyCons!$C$4:$C$10000)*1+("LBIO"=[2]OUT_PrimaryEnergyCons!$C$4:$C$10000)*1,[2]OUT_PrimaryEnergyCons!I$4:I$10000)</f>
        <v>6.037846514586267</v>
      </c>
      <c r="L45" s="1" cm="1">
        <f t="array" ref="L45">SUMPRODUCT(("BIO"=[2]OUT_PrimaryEnergyCons!$C$4:$C$10000)*1+("LBIO"=[2]OUT_PrimaryEnergyCons!$C$4:$C$10000)*1,[2]OUT_PrimaryEnergyCons!J$4:J$10000)</f>
        <v>6.281389497684871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0.51650073746935232</v>
      </c>
      <c r="H46" s="1">
        <f t="shared" si="41"/>
        <v>3.9635571493592869E-2</v>
      </c>
      <c r="I46" s="1">
        <f t="shared" si="41"/>
        <v>2.7101352794896929</v>
      </c>
      <c r="J46" s="1">
        <f t="shared" si="41"/>
        <v>2.7101352794896929</v>
      </c>
      <c r="K46" s="1">
        <f t="shared" si="41"/>
        <v>5.9186996199945474</v>
      </c>
      <c r="L46" s="1">
        <f t="shared" si="41"/>
        <v>6.037846514586267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0.51650073746935232</v>
      </c>
      <c r="H47" s="1">
        <f>H45</f>
        <v>3.9635571493592869E-2</v>
      </c>
      <c r="I47" s="1">
        <f>I45</f>
        <v>2.7101352794896929</v>
      </c>
      <c r="J47" s="1">
        <f>IF(J45-MAX(F45:I45)&lt;0,J45,MAX(F45:I45))</f>
        <v>2.7101352794896929</v>
      </c>
      <c r="K47" s="1">
        <f>IF(K45-MAX(G45:J45)&lt;0,K45,MAX(G45:J45))</f>
        <v>5.9186996199945474</v>
      </c>
      <c r="L47" s="1">
        <f>IF(L45-MAX(H45:K45)&lt;0,L45,MAX(H45:K45))</f>
        <v>6.037846514586267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3.2085643405048545</v>
      </c>
      <c r="K48" s="1">
        <f t="shared" si="42"/>
        <v>0.11914689459171957</v>
      </c>
      <c r="L48" s="1">
        <f t="shared" si="42"/>
        <v>0.243542983098604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3.2085643405048545</v>
      </c>
      <c r="K49" s="1">
        <f>K45-K47</f>
        <v>0.11914689459171957</v>
      </c>
      <c r="L49" s="1">
        <f>L45-L47</f>
        <v>0.243542983098604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250.94817811360252</v>
      </c>
      <c r="G50" s="1" cm="1">
        <f t="array" ref="G50">SUMPRODUCT(("urn"=[1]OUT_PrimaryEnergyCons!$C$4:$C$10000)*1,[1]OUT_PrimaryEnergyCons!E$4:E$10000)</f>
        <v>253.30007324334682</v>
      </c>
      <c r="H50" s="1" cm="1">
        <f t="array" ref="H50">SUMPRODUCT(("urn"=[1]OUT_PrimaryEnergyCons!$C$4:$C$10000)*1,[1]OUT_PrimaryEnergyCons!F$4:F$10000)</f>
        <v>233.22742609086151</v>
      </c>
      <c r="I50" s="1" cm="1">
        <f t="array" ref="I50">SUMPRODUCT(("urn"=[1]OUT_PrimaryEnergyCons!$C$4:$C$10000)*1,[1]OUT_PrimaryEnergyCons!G$4:G$10000)</f>
        <v>211.90228197968187</v>
      </c>
      <c r="J50" s="1" cm="1">
        <f t="array" ref="J50">SUMPRODUCT(("urn"=[2]OUT_PrimaryEnergyCons!$C$4:$C$10000)*1,[2]OUT_PrimaryEnergyCons!H$4:H$10000)</f>
        <v>190.50729033456858</v>
      </c>
      <c r="K50" s="1" cm="1">
        <f t="array" ref="K50">SUMPRODUCT(("urn"=[2]OUT_PrimaryEnergyCons!$C$4:$C$10000)*1,[2]OUT_PrimaryEnergyCons!I$4:I$10000)</f>
        <v>190.50731732366512</v>
      </c>
      <c r="L50" s="1" cm="1">
        <f t="array" ref="L50">SUMPRODUCT(("urn"=[2]OUT_PrimaryEnergyCons!$C$4:$C$10000)*1,[2]OUT_PrimaryEnergyCons!J$4:J$10000)</f>
        <v>278.03324468182126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97.160003940796088</v>
      </c>
      <c r="G51" s="1">
        <f t="shared" ref="G51:K51" si="46">SUM(G52:G55)</f>
        <v>50.274191336888087</v>
      </c>
      <c r="H51" s="1">
        <f t="shared" si="46"/>
        <v>50.452198541338433</v>
      </c>
      <c r="I51" s="1">
        <f t="shared" si="46"/>
        <v>50.749086452165166</v>
      </c>
      <c r="J51" s="1">
        <f t="shared" si="46"/>
        <v>56.315049336427798</v>
      </c>
      <c r="K51" s="1">
        <f t="shared" si="46"/>
        <v>41.056400827609991</v>
      </c>
      <c r="L51" s="1">
        <f t="shared" ref="L51" si="47">SUM(L52:L55)</f>
        <v>12.752205180957178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15.013807044343766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1.7706776567152544E-2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1.3269253792695243E-2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1.3016244561304119E-2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1.3656479585206398E-3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9.7275813411647931E-4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4.2389488297041642E-4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28.948622033497291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17.237285963676449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21.273359865652033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14.83381277140796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17.633225422575343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10.574037009837278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6.4895767217875022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46.398476122575623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33.019061856164996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29.165457970151063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35.902209239879461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38.680421785864873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30.481355211719251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6.2621735800032923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6.7990987403794056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1.3674047949247017E-4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1.1145174263870686E-4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4.8196316443690645E-5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3.6480029062034771E-5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3.5847919347132382E-5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3.0984283415349823E-5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7.184609358289461E-5</v>
      </c>
      <c r="L56" s="1" cm="1">
        <f t="array" ref="L56">SUMPRODUCT(("h2"=[2]OUT_PrimaryEnergyCons!$C$4:$C$10000)*1,[2]OUT_PrimaryEnergyCons!J$4:J$10000)</f>
        <v>7.199672519050043E-5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117.17000544975915</v>
      </c>
      <c r="G57" s="3">
        <f t="shared" ref="G57:L57" si="51">G58</f>
        <v>35.622833874229897</v>
      </c>
      <c r="H57" s="3">
        <f t="shared" si="51"/>
        <v>74.625427784999971</v>
      </c>
      <c r="I57" s="3">
        <f t="shared" si="51"/>
        <v>58.784829070887952</v>
      </c>
      <c r="J57" s="3">
        <f t="shared" si="51"/>
        <v>41.325853598802297</v>
      </c>
      <c r="K57" s="3">
        <f t="shared" si="51"/>
        <v>20.465190974907461</v>
      </c>
      <c r="L57" s="3">
        <f t="shared" si="51"/>
        <v>19.598278874931541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117.17000544975915</v>
      </c>
      <c r="G58" s="1">
        <f t="shared" ref="G58:K58" si="52">SUM(G59:G62)</f>
        <v>35.622833874229897</v>
      </c>
      <c r="H58" s="1">
        <f t="shared" si="52"/>
        <v>74.625427784999971</v>
      </c>
      <c r="I58" s="1">
        <f t="shared" si="52"/>
        <v>58.784829070887952</v>
      </c>
      <c r="J58" s="1">
        <f t="shared" si="52"/>
        <v>41.325853598802297</v>
      </c>
      <c r="K58" s="1">
        <f t="shared" si="52"/>
        <v>20.465190974907461</v>
      </c>
      <c r="L58" s="1">
        <f t="shared" ref="L58" si="53">SUM(L59:L62)</f>
        <v>19.598278874931541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6.2295572283639959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2.1183212872880283E-4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2.8078314982271364E-4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4.9032527210814143E-5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2.9704435218332468E-5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2.8725712579620754E-5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2.5387160808957888E-5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12.75336069494074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2.1015038260549732E-4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2.2830026798602564E-4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1.070566004915412E-4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8.0437516107818919E-5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9.9589477018543411E-5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7.962150637452402E-5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26.492979688082254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1.4857839317230039E-4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1.7564354264258425E-4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1.1159473634113997E-4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7.3496771639306423E-5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1.0423175190983871E-4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3.3294943329047434E-5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71.694107838372162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35.622263313325391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74.624743058039513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58.784561387023906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41.325669960079331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20.464958427965954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19.598140571321029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251.11459163145716</v>
      </c>
      <c r="G63" s="3">
        <f t="shared" ref="G63:K63" si="58">SUM(G64,G66,G74,G82,G130,G151,G159,G161,G169,G173,G167)</f>
        <v>229.28936363702906</v>
      </c>
      <c r="H63" s="3">
        <f t="shared" si="58"/>
        <v>256.02747330987063</v>
      </c>
      <c r="I63" s="3">
        <f t="shared" si="58"/>
        <v>273.11411191917546</v>
      </c>
      <c r="J63" s="3">
        <f t="shared" si="58"/>
        <v>263.6984156770302</v>
      </c>
      <c r="K63" s="3">
        <f t="shared" si="58"/>
        <v>266.04010912299844</v>
      </c>
      <c r="L63" s="3">
        <f t="shared" ref="L63" si="59">SUM(L64,L66,L74,L82,L130,L151,L159,L161,L169,L173,L167)</f>
        <v>296.46578830107535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82.760000148976332</v>
      </c>
      <c r="G64" s="1">
        <f t="shared" ref="G64:L64" si="60">+G65</f>
        <v>82.759995330706502</v>
      </c>
      <c r="H64" s="1">
        <f t="shared" si="60"/>
        <v>76.101924503147643</v>
      </c>
      <c r="I64" s="1">
        <f t="shared" si="60"/>
        <v>69.934413130818442</v>
      </c>
      <c r="J64" s="1">
        <f t="shared" si="60"/>
        <v>62.884322289221039</v>
      </c>
      <c r="K64" s="1">
        <f t="shared" si="60"/>
        <v>62.88432313905129</v>
      </c>
      <c r="L64" s="1">
        <f t="shared" si="60"/>
        <v>87.488526549622236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82.760000148976332</v>
      </c>
      <c r="G65" s="1">
        <f>'[1]Electricity and CHPs'!C14</f>
        <v>82.759995330706502</v>
      </c>
      <c r="H65" s="1">
        <f>'[1]Electricity and CHPs'!D14</f>
        <v>76.101924503147643</v>
      </c>
      <c r="I65" s="1">
        <f>'[1]Electricity and CHPs'!E14</f>
        <v>69.934413130818442</v>
      </c>
      <c r="J65" s="1">
        <f>'[2]Electricity and CHPs'!F14</f>
        <v>62.884322289221039</v>
      </c>
      <c r="K65" s="1">
        <f>'[2]Electricity and CHPs'!G14</f>
        <v>62.88432313905129</v>
      </c>
      <c r="L65" s="1">
        <f>'[2]Electricity and CHPs'!H14</f>
        <v>87.488526549622236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146.22000084198157</v>
      </c>
      <c r="G66" s="1">
        <f t="shared" ref="G66:K66" si="64">SUM(G67:G69)</f>
        <v>121.59632363938036</v>
      </c>
      <c r="H66" s="1">
        <f t="shared" si="64"/>
        <v>137.02849334108171</v>
      </c>
      <c r="I66" s="1">
        <f t="shared" si="64"/>
        <v>147.46971691651433</v>
      </c>
      <c r="J66" s="1">
        <f t="shared" si="64"/>
        <v>146.96128173014478</v>
      </c>
      <c r="K66" s="1">
        <f t="shared" si="64"/>
        <v>146.98038068441923</v>
      </c>
      <c r="L66" s="1">
        <f t="shared" ref="L66" si="65">SUM(L67:L69)</f>
        <v>147.01923817939354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66.745679999995161</v>
      </c>
      <c r="G67" s="1">
        <f>'[1]Electricity and CHPs'!C15</f>
        <v>49.798799902568817</v>
      </c>
      <c r="H67" s="1">
        <f>'[1]Electricity and CHPs'!D15</f>
        <v>69.098091987387846</v>
      </c>
      <c r="I67" s="1">
        <f>'[1]Electricity and CHPs'!E15</f>
        <v>70.384657838973283</v>
      </c>
      <c r="J67" s="1">
        <f>'[2]Electricity and CHPs'!F15</f>
        <v>71.044264689717764</v>
      </c>
      <c r="K67" s="1">
        <f>'[2]Electricity and CHPs'!G15</f>
        <v>72.128987484440245</v>
      </c>
      <c r="L67" s="1">
        <f>'[2]Electricity and CHPs'!H15</f>
        <v>74.298727753074118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66.632400218261907</v>
      </c>
      <c r="G68" s="1">
        <f>'[1]Electricity and CHPs'!C16</f>
        <v>55.76400049992705</v>
      </c>
      <c r="H68" s="1">
        <f>'[1]Electricity and CHPs'!D16</f>
        <v>65.549520725005422</v>
      </c>
      <c r="I68" s="1">
        <f>'[1]Electricity and CHPs'!E16</f>
        <v>64.46572592756182</v>
      </c>
      <c r="J68" s="1">
        <f>'[2]Electricity and CHPs'!F16</f>
        <v>63.378495368763765</v>
      </c>
      <c r="K68" s="1">
        <f>'[2]Electricity and CHPs'!G16</f>
        <v>62.293772492353952</v>
      </c>
      <c r="L68" s="1">
        <f>'[2]Electricity and CHPs'!H16</f>
        <v>60.124031879381107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12.841920623724477</v>
      </c>
      <c r="G69" s="1">
        <f>'[1]Electricity and CHPs'!C17</f>
        <v>16.033523236884484</v>
      </c>
      <c r="H69" s="1">
        <f>'[1]Electricity and CHPs'!D17</f>
        <v>2.3808806286884696</v>
      </c>
      <c r="I69" s="1">
        <f>'[1]Electricity and CHPs'!E17</f>
        <v>12.619333149979209</v>
      </c>
      <c r="J69" s="1">
        <f>'[2]Electricity and CHPs'!F17</f>
        <v>12.538521671663258</v>
      </c>
      <c r="K69" s="1">
        <f>'[2]Electricity and CHPs'!G17</f>
        <v>12.557620707625034</v>
      </c>
      <c r="L69" s="1">
        <f>'[2]Electricity and CHPs'!H17</f>
        <v>12.596478546938336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0.11190474051810419</v>
      </c>
      <c r="G70" s="1">
        <f t="shared" ref="G70" si="67">SUM(G71:G73)</f>
        <v>0.17152872904444336</v>
      </c>
      <c r="H70" s="1">
        <f t="shared" ref="H70" si="68">SUM(H71:H73)</f>
        <v>1.4187889602118937E-2</v>
      </c>
      <c r="I70" s="1">
        <f t="shared" ref="I70" si="69">SUM(I71:I73)</f>
        <v>0.17153070144118482</v>
      </c>
      <c r="J70" s="1">
        <f t="shared" ref="J70" si="70">SUM(J71:J73)</f>
        <v>0.17153148573349827</v>
      </c>
      <c r="K70" s="1">
        <f t="shared" ref="K70:L70" si="71">SUM(K71:K73)</f>
        <v>1.6663536402325679E-2</v>
      </c>
      <c r="L70" s="1">
        <f t="shared" si="71"/>
        <v>2.0081089398184031E-2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3.960103094555574E-2</v>
      </c>
      <c r="G71" s="1">
        <f>'[1]Electricity and CHPs'!C18</f>
        <v>4.0467292091570133E-5</v>
      </c>
      <c r="H71" s="1">
        <f>'[1]Electricity and CHPs'!D18</f>
        <v>3.9569265600404883E-3</v>
      </c>
      <c r="I71" s="1">
        <f>'[1]Electricity and CHPs'!E18</f>
        <v>2.3315827825481447E-4</v>
      </c>
      <c r="J71" s="1">
        <f>'[2]Electricity and CHPs'!F18</f>
        <v>2.5783477115648787E-4</v>
      </c>
      <c r="K71" s="1">
        <f>'[2]Electricity and CHPs'!G18</f>
        <v>1.6050098544631721E-4</v>
      </c>
      <c r="L71" s="1">
        <f>'[2]Electricity and CHPs'!H18</f>
        <v>4.9370567196468321E-4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1.8009909297917062E-3</v>
      </c>
      <c r="G72" s="1">
        <f>'[1]Electricity and CHPs'!C28</f>
        <v>4.2907107324721099E-5</v>
      </c>
      <c r="H72" s="1">
        <f>'[1]Electricity and CHPs'!D28</f>
        <v>4.742982662441835E-4</v>
      </c>
      <c r="I72" s="1">
        <f>'[1]Electricity and CHPs'!E28</f>
        <v>1.2521024452642618E-4</v>
      </c>
      <c r="J72" s="1">
        <f>'[2]Electricity and CHPs'!F28</f>
        <v>1.2291912048946946E-4</v>
      </c>
      <c r="K72" s="1">
        <f>'[2]Electricity and CHPs'!G28</f>
        <v>8.1580437047459477E-5</v>
      </c>
      <c r="L72" s="1">
        <f>'[2]Electricity and CHPs'!H28</f>
        <v>1.2507215195163712E-4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7.0502718642756743E-2</v>
      </c>
      <c r="G73" s="1">
        <f>'[1]Electricity and CHPs'!C41</f>
        <v>0.17144535464502705</v>
      </c>
      <c r="H73" s="1">
        <f>'[1]Electricity and CHPs'!D41</f>
        <v>9.7566647758342648E-3</v>
      </c>
      <c r="I73" s="1">
        <f>'[1]Electricity and CHPs'!E41</f>
        <v>0.17117233291840359</v>
      </c>
      <c r="J73" s="1">
        <f>'[2]Electricity and CHPs'!F41</f>
        <v>0.17115073184185231</v>
      </c>
      <c r="K73" s="1">
        <f>'[2]Electricity and CHPs'!G41</f>
        <v>1.6421454979831902E-2</v>
      </c>
      <c r="L73" s="1">
        <f>'[2]Electricity and CHPs'!H41</f>
        <v>1.9462311574267709E-2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0.11190474051810419</v>
      </c>
      <c r="G74" s="1">
        <f t="shared" ref="G74:K74" si="75">SUM(G75:G77)</f>
        <v>0.17152872904444336</v>
      </c>
      <c r="H74" s="1">
        <f t="shared" si="75"/>
        <v>1.4187889602118937E-2</v>
      </c>
      <c r="I74" s="1">
        <f t="shared" si="75"/>
        <v>0.17153070144118482</v>
      </c>
      <c r="J74" s="1">
        <f t="shared" si="75"/>
        <v>0.17153148573349827</v>
      </c>
      <c r="K74" s="1">
        <f t="shared" si="75"/>
        <v>1.6663536402325679E-2</v>
      </c>
      <c r="L74" s="1">
        <f t="shared" ref="L74" si="76">SUM(L75:L77)</f>
        <v>2.0081089398184031E-2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3.960103094555574E-2</v>
      </c>
      <c r="G75" s="1">
        <f t="shared" ref="G75:K75" si="77">G71</f>
        <v>4.0467292091570133E-5</v>
      </c>
      <c r="H75" s="1">
        <f t="shared" si="77"/>
        <v>3.9569265600404883E-3</v>
      </c>
      <c r="I75" s="1">
        <f t="shared" si="77"/>
        <v>2.3315827825481447E-4</v>
      </c>
      <c r="J75" s="1">
        <f t="shared" si="77"/>
        <v>2.5783477115648787E-4</v>
      </c>
      <c r="K75" s="1">
        <f t="shared" si="77"/>
        <v>1.6050098544631721E-4</v>
      </c>
      <c r="L75" s="1">
        <f t="shared" ref="L75" si="78">L71</f>
        <v>4.9370567196468321E-4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1.8009909297917062E-3</v>
      </c>
      <c r="G76" s="1">
        <f>'[1]Electricity and CHPs'!C28</f>
        <v>4.2907107324721099E-5</v>
      </c>
      <c r="H76" s="1">
        <f>'[1]Electricity and CHPs'!D28</f>
        <v>4.742982662441835E-4</v>
      </c>
      <c r="I76" s="1">
        <f>'[1]Electricity and CHPs'!E28</f>
        <v>1.2521024452642618E-4</v>
      </c>
      <c r="J76" s="1">
        <f>'[2]Electricity and CHPs'!F28</f>
        <v>1.2291912048946946E-4</v>
      </c>
      <c r="K76" s="1">
        <f>'[2]Electricity and CHPs'!G28</f>
        <v>8.1580437047459477E-5</v>
      </c>
      <c r="L76" s="1">
        <f>'[2]Electricity and CHPs'!H28</f>
        <v>1.2507215195163712E-4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7.0502718642756743E-2</v>
      </c>
      <c r="G77" s="1">
        <f>'[1]Electricity and CHPs'!C41</f>
        <v>0.17144535464502705</v>
      </c>
      <c r="H77" s="1">
        <f>'[1]Electricity and CHPs'!D41</f>
        <v>9.7566647758342648E-3</v>
      </c>
      <c r="I77" s="1">
        <f>'[1]Electricity and CHPs'!E41</f>
        <v>0.17117233291840359</v>
      </c>
      <c r="J77" s="1">
        <f>'[2]Electricity and CHPs'!F41</f>
        <v>0.17115073184185231</v>
      </c>
      <c r="K77" s="1">
        <f>'[2]Electricity and CHPs'!G41</f>
        <v>1.6421454979831902E-2</v>
      </c>
      <c r="L77" s="1">
        <f>'[2]Electricity and CHPs'!H41</f>
        <v>1.9462311574267709E-2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3.2304496937153853</v>
      </c>
      <c r="G82" s="1">
        <f t="shared" ref="G82:K82" si="82">SUM(G83:G97)</f>
        <v>1.9001474268312837</v>
      </c>
      <c r="H82" s="1">
        <f t="shared" si="82"/>
        <v>2.1549582799776084</v>
      </c>
      <c r="I82" s="1">
        <f t="shared" si="82"/>
        <v>2.530465476164319</v>
      </c>
      <c r="J82" s="1">
        <f t="shared" si="82"/>
        <v>7.1762361051913031</v>
      </c>
      <c r="K82" s="1">
        <f t="shared" si="82"/>
        <v>7.0348435658300872</v>
      </c>
      <c r="L82" s="1">
        <f t="shared" ref="L82" si="83">SUM(L83:L97)</f>
        <v>8.5435902175767353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5.8878249559331426E-4</v>
      </c>
      <c r="L83" s="1">
        <f>'[2]Electricity and CHPs'!H21</f>
        <v>5.9207961521121364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6.9264626218754045E-4</v>
      </c>
      <c r="K84" s="1">
        <f>'[2]Electricity and CHPs'!G22</f>
        <v>2.4362720815747439E-4</v>
      </c>
      <c r="L84" s="1">
        <f>'[2]Electricity and CHPs'!H22</f>
        <v>1.5749181866840636E-3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0.96588145389344926</v>
      </c>
      <c r="G86" s="1">
        <f>'[1]Electricity and CHPs'!C24</f>
        <v>1.709298336433726E-4</v>
      </c>
      <c r="H86" s="1">
        <f>'[1]Electricity and CHPs'!D24</f>
        <v>7.4197658419084378E-2</v>
      </c>
      <c r="I86" s="1">
        <f>'[1]Electricity and CHPs'!E24</f>
        <v>8.2432140627669778E-3</v>
      </c>
      <c r="J86" s="1">
        <f>'[2]Electricity and CHPs'!F24</f>
        <v>1.5447643830897655E-3</v>
      </c>
      <c r="K86" s="1">
        <f>'[2]Electricity and CHPs'!G24</f>
        <v>6.7003417132125039E-4</v>
      </c>
      <c r="L86" s="1">
        <f>'[2]Electricity and CHPs'!H24</f>
        <v>1.3057709754155365E-3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5.4716864673696203E-3</v>
      </c>
      <c r="L87" s="1">
        <f>'[2]Electricity and CHPs'!H29</f>
        <v>0.53782047806045374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0.66996706142721818</v>
      </c>
      <c r="G88" s="1">
        <f>'[1]Electricity and CHPs'!C39</f>
        <v>0.16578928313456487</v>
      </c>
      <c r="H88" s="1">
        <f>'[1]Electricity and CHPs'!D39</f>
        <v>0.95518478301099263</v>
      </c>
      <c r="I88" s="1">
        <f>'[1]Electricity and CHPs'!E39</f>
        <v>1.4159657289009404</v>
      </c>
      <c r="J88" s="1">
        <f>'[2]Electricity and CHPs'!F39</f>
        <v>0.5506362745448754</v>
      </c>
      <c r="K88" s="1">
        <f>'[2]Electricity and CHPs'!G39</f>
        <v>9.6396573723553397E-2</v>
      </c>
      <c r="L88" s="1">
        <f>'[2]Electricity and CHPs'!H39</f>
        <v>2.484249820108515E-2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0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3.1198220526869157E-4</v>
      </c>
      <c r="J90" s="1">
        <f>'[2]Electricity and CHPs'!F47</f>
        <v>2.177530542550961E-4</v>
      </c>
      <c r="K90" s="1">
        <f>'[2]Electricity and CHPs'!G47</f>
        <v>1.8588884496890801E-4</v>
      </c>
      <c r="L90" s="1">
        <f>'[2]Electricity and CHPs'!H47</f>
        <v>3.6272912648002117E-4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1.3144636281895751E-2</v>
      </c>
      <c r="G91" s="1">
        <f>'[1]Electricity and CHPs'!C48</f>
        <v>8.5641395012026143E-4</v>
      </c>
      <c r="H91" s="1">
        <f>'[1]Electricity and CHPs'!D48</f>
        <v>1.9970662080508964E-3</v>
      </c>
      <c r="I91" s="1">
        <f>'[1]Electricity and CHPs'!E48</f>
        <v>0</v>
      </c>
      <c r="J91" s="1">
        <f>'[2]Electricity and CHPs'!F48</f>
        <v>4.8900016065540281E-3</v>
      </c>
      <c r="K91" s="1">
        <f>'[2]Electricity and CHPs'!G48</f>
        <v>1.8231869944314288E-3</v>
      </c>
      <c r="L91" s="1">
        <f>'[2]Electricity and CHPs'!H48</f>
        <v>3.3168848385850655E-4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1.0877434885646603E-4</v>
      </c>
      <c r="K92" s="1">
        <f>'[2]Electricity and CHPs'!G49</f>
        <v>1.1482880449995459E-4</v>
      </c>
      <c r="L92" s="1">
        <f>'[2]Electricity and CHPs'!H49</f>
        <v>1.0192137364530988E-4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2.7688806333293497E-2</v>
      </c>
      <c r="G93" s="1">
        <f>'[1]Electricity and CHPs'!C51</f>
        <v>1.5160623731566888E-3</v>
      </c>
      <c r="H93" s="1">
        <f>'[1]Electricity and CHPs'!D51</f>
        <v>2.5605282946524121E-3</v>
      </c>
      <c r="I93" s="1">
        <f>'[1]Electricity and CHPs'!E51</f>
        <v>0</v>
      </c>
      <c r="J93" s="1">
        <f>'[2]Electricity and CHPs'!F51</f>
        <v>1.2090947870526225</v>
      </c>
      <c r="K93" s="1">
        <f>'[2]Electricity and CHPs'!G51</f>
        <v>1.777323491626098</v>
      </c>
      <c r="L93" s="1">
        <f>'[2]Electricity and CHPs'!H51</f>
        <v>0.94904691196363899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6.8166042140631322E-4</v>
      </c>
      <c r="K94" s="1">
        <f>'[2]Electricity and CHPs'!G52</f>
        <v>1.0210729244368628E-3</v>
      </c>
      <c r="L94" s="1">
        <f>'[2]Electricity and CHPs'!H52</f>
        <v>7.7663995291989141E-4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0.9593676447766335</v>
      </c>
      <c r="G95" s="1">
        <f>'[1]Electricity and CHPs'!C54</f>
        <v>1.1059448075564708</v>
      </c>
      <c r="H95" s="1">
        <f>'[1]Electricity and CHPs'!D54</f>
        <v>1.1059444382561738</v>
      </c>
      <c r="I95" s="1">
        <f>'[1]Electricity and CHPs'!E54</f>
        <v>1.1059445509953427</v>
      </c>
      <c r="J95" s="1">
        <f>'[2]Electricity and CHPs'!F54</f>
        <v>1.1059382878509092</v>
      </c>
      <c r="K95" s="1">
        <f>'[2]Electricity and CHPs'!G54</f>
        <v>1.1059382607058463</v>
      </c>
      <c r="L95" s="1">
        <f>'[2]Electricity and CHPs'!H54</f>
        <v>1.1059382100901844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0.59440009100289515</v>
      </c>
      <c r="G96" s="1">
        <f>'[1]Electricity and CHPs'!C55</f>
        <v>0.6258699299833278</v>
      </c>
      <c r="H96" s="1">
        <f>'[1]Electricity and CHPs'!D55</f>
        <v>1.5073805788654335E-2</v>
      </c>
      <c r="I96" s="1">
        <f>'[1]Electricity and CHPs'!E55</f>
        <v>0</v>
      </c>
      <c r="J96" s="1">
        <f>'[2]Electricity and CHPs'!F55</f>
        <v>4.3020662229307778</v>
      </c>
      <c r="K96" s="1">
        <f>'[2]Electricity and CHPs'!G55</f>
        <v>4.0442530012483804</v>
      </c>
      <c r="L96" s="1">
        <f>'[2]Electricity and CHPs'!H55</f>
        <v>2.3390443955564736E-4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3.6493273576860099E-4</v>
      </c>
      <c r="K97" s="1">
        <f>'[2]Electricity and CHPs'!G58</f>
        <v>8.1313061543028195E-4</v>
      </c>
      <c r="L97" s="1">
        <f>'[2]Electricity and CHPs'!H58</f>
        <v>4.5839461067679135E-4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2.213215753466196</v>
      </c>
      <c r="G98" s="1">
        <f t="shared" ref="G98:K98" si="88">G82-G114</f>
        <v>0.77086561921549634</v>
      </c>
      <c r="H98" s="1">
        <f t="shared" si="88"/>
        <v>0.96173064579543688</v>
      </c>
      <c r="I98" s="1">
        <f t="shared" si="88"/>
        <v>1.233840034702435</v>
      </c>
      <c r="J98" s="1">
        <f t="shared" si="88"/>
        <v>6.0003588470360558</v>
      </c>
      <c r="K98" s="1">
        <f t="shared" si="88"/>
        <v>5.8997079060941982</v>
      </c>
      <c r="L98" s="1">
        <f t="shared" ref="L98" si="89">L82-L114</f>
        <v>7.399313158482892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5.858829860580743E-4</v>
      </c>
      <c r="L99" s="1">
        <f t="shared" ref="L99" si="91">L83-L115</f>
        <v>5.8902762367640156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6.8466593439799387E-4</v>
      </c>
      <c r="K100" s="1">
        <f t="shared" si="92"/>
        <v>2.4242744522568979E-4</v>
      </c>
      <c r="L100" s="1">
        <f t="shared" ref="L100" si="93">L84-L116</f>
        <v>1.5667999592526621E-3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0.94127116663915222</v>
      </c>
      <c r="G102" s="1">
        <f t="shared" si="96"/>
        <v>1.6590719906491114E-4</v>
      </c>
      <c r="H102" s="1">
        <f t="shared" si="96"/>
        <v>6.8024042305100868E-2</v>
      </c>
      <c r="I102" s="1">
        <f t="shared" si="96"/>
        <v>7.139809142542114E-3</v>
      </c>
      <c r="J102" s="1">
        <f t="shared" si="96"/>
        <v>1.5269663715972337E-3</v>
      </c>
      <c r="K102" s="1">
        <f t="shared" si="96"/>
        <v>6.667345309901892E-4</v>
      </c>
      <c r="L102" s="1">
        <f t="shared" ref="L102" si="97">L86-L118</f>
        <v>1.2990401205423285E-3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5.444740681438953E-3</v>
      </c>
      <c r="L103" s="1">
        <f t="shared" ref="L103" si="99">L87-L119</f>
        <v>0.53504817598465348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0.65289655886587594</v>
      </c>
      <c r="G104" s="1">
        <f t="shared" si="100"/>
        <v>0.16091769946504969</v>
      </c>
      <c r="H104" s="1">
        <f t="shared" si="100"/>
        <v>0.87570863384572795</v>
      </c>
      <c r="I104" s="1">
        <f t="shared" si="100"/>
        <v>1.2264300040923284</v>
      </c>
      <c r="J104" s="1">
        <f t="shared" si="100"/>
        <v>0.54429211562340118</v>
      </c>
      <c r="K104" s="1">
        <f t="shared" si="100"/>
        <v>9.5921860587942512E-2</v>
      </c>
      <c r="L104" s="1">
        <f t="shared" ref="L104" si="101">L88-L120</f>
        <v>2.4714442628379359E-2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0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2.702214675643347E-4</v>
      </c>
      <c r="J106" s="1">
        <f t="shared" si="104"/>
        <v>2.1524421122078534E-4</v>
      </c>
      <c r="K106" s="1">
        <f t="shared" si="104"/>
        <v>1.8497341952315158E-4</v>
      </c>
      <c r="L106" s="1">
        <f t="shared" ref="L106" si="105">L90-L122</f>
        <v>3.6085936742227706E-4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1.2809716014561998E-2</v>
      </c>
      <c r="G107" s="1">
        <f t="shared" si="106"/>
        <v>8.3124892054253817E-4</v>
      </c>
      <c r="H107" s="1">
        <f t="shared" si="106"/>
        <v>1.8309003156843553E-3</v>
      </c>
      <c r="I107" s="1">
        <f t="shared" si="106"/>
        <v>0</v>
      </c>
      <c r="J107" s="1">
        <f t="shared" si="106"/>
        <v>4.8336614256535146E-3</v>
      </c>
      <c r="K107" s="1">
        <f t="shared" si="106"/>
        <v>1.814208554830312E-3</v>
      </c>
      <c r="L107" s="1">
        <f t="shared" ref="L107" si="107">L91-L123</f>
        <v>3.2997872993534592E-4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1.0752110458683326E-4</v>
      </c>
      <c r="K108" s="1">
        <f t="shared" si="108"/>
        <v>1.142633202743539E-4</v>
      </c>
      <c r="L108" s="1">
        <f t="shared" ref="L108" si="109">L92-L124</f>
        <v>1.0139599975708551E-4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2.698330621747274E-2</v>
      </c>
      <c r="G109" s="1">
        <f t="shared" si="110"/>
        <v>1.4715141094848931E-3</v>
      </c>
      <c r="H109" s="1">
        <f t="shared" si="110"/>
        <v>2.3474795397861676E-3</v>
      </c>
      <c r="I109" s="1">
        <f t="shared" si="110"/>
        <v>0</v>
      </c>
      <c r="J109" s="1">
        <f t="shared" si="110"/>
        <v>1.195164194691035</v>
      </c>
      <c r="K109" s="1">
        <f t="shared" si="110"/>
        <v>1.7685709107498904</v>
      </c>
      <c r="L109" s="1">
        <f t="shared" ref="L109" si="111">L93-L125</f>
        <v>0.94415486186254016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6.738066670428631E-4</v>
      </c>
      <c r="K110" s="1">
        <f t="shared" si="112"/>
        <v>1.0160445638746204E-3</v>
      </c>
      <c r="L110" s="1">
        <f t="shared" ref="L110" si="113">L94-L126</f>
        <v>7.7263660860434221E-4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0.57925500572913313</v>
      </c>
      <c r="G112" s="1">
        <f t="shared" si="116"/>
        <v>0.60747924952135457</v>
      </c>
      <c r="H112" s="1">
        <f t="shared" si="116"/>
        <v>1.3819589789137585E-2</v>
      </c>
      <c r="I112" s="1">
        <f t="shared" si="116"/>
        <v>0</v>
      </c>
      <c r="J112" s="1">
        <f t="shared" si="116"/>
        <v>4.25249994284591</v>
      </c>
      <c r="K112" s="1">
        <f t="shared" si="116"/>
        <v>4.0243367329696742</v>
      </c>
      <c r="L112" s="1">
        <f t="shared" ref="L112" si="117">L96-L128</f>
        <v>2.3269873283793822E-4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3.6072816120932778E-4</v>
      </c>
      <c r="K113" s="1">
        <f t="shared" si="118"/>
        <v>8.0912628447533431E-4</v>
      </c>
      <c r="L113" s="1">
        <f t="shared" ref="L113" si="119">L97-L129</f>
        <v>4.5603172495087426E-4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1.0172339402491892</v>
      </c>
      <c r="G114" s="1">
        <f t="shared" ref="G114:K114" si="120">SUM(G115:G129)</f>
        <v>1.1292818076157873</v>
      </c>
      <c r="H114" s="1">
        <f t="shared" si="120"/>
        <v>1.1932276341821715</v>
      </c>
      <c r="I114" s="1">
        <f t="shared" si="120"/>
        <v>1.2966254414618841</v>
      </c>
      <c r="J114" s="1">
        <f t="shared" si="120"/>
        <v>1.1758772581552477</v>
      </c>
      <c r="K114" s="1">
        <f t="shared" si="120"/>
        <v>1.1351356597358893</v>
      </c>
      <c r="L114" s="1">
        <f t="shared" ref="L114" si="121">SUM(L115:L129)</f>
        <v>1.1442770590938434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2.8995095352399626E-6</v>
      </c>
      <c r="L115" s="1">
        <f>'[2]Electricity and CHPs_IN'!R$23/SUM('[2]Electricity and CHPs_IN'!R$22:R$23)*L83</f>
        <v>3.0519915348120853E-2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7.9803277895465891E-6</v>
      </c>
      <c r="K116" s="1">
        <f>'[2]Electricity and CHPs_IN'!Q$23/SUM('[2]Electricity and CHPs_IN'!Q$22:Q$23)*K84</f>
        <v>1.1997629317846003E-6</v>
      </c>
      <c r="L116" s="1">
        <f>'[2]Electricity and CHPs_IN'!R$23/SUM('[2]Electricity and CHPs_IN'!R$22:R$23)*L84</f>
        <v>8.1182274314015713E-6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2.4610287254296998E-2</v>
      </c>
      <c r="G118" s="1">
        <f>'[1]Electricity and CHPs_IN'!M$23/SUM('[1]Electricity and CHPs_IN'!M$22:M$23)*G86</f>
        <v>5.0226345784614566E-6</v>
      </c>
      <c r="H118" s="1">
        <f>'[1]Electricity and CHPs_IN'!N$23/SUM('[1]Electricity and CHPs_IN'!N$22:N$23)*H86</f>
        <v>6.1736161139835082E-3</v>
      </c>
      <c r="I118" s="1">
        <f>'[1]Electricity and CHPs_IN'!O$23/SUM('[1]Electricity and CHPs_IN'!O$22:O$23)*I86</f>
        <v>1.1034049202248634E-3</v>
      </c>
      <c r="J118" s="1">
        <f>'[2]Electricity and CHPs_IN'!P$23/SUM('[2]Electricity and CHPs_IN'!P$22:P$23)*J86</f>
        <v>1.7798011492531812E-5</v>
      </c>
      <c r="K118" s="1">
        <f>'[2]Electricity and CHPs_IN'!Q$23/SUM('[2]Electricity and CHPs_IN'!Q$22:Q$23)*K86</f>
        <v>3.2996403310612159E-6</v>
      </c>
      <c r="L118" s="1">
        <f>'[2]Electricity and CHPs_IN'!R$23/SUM('[2]Electricity and CHPs_IN'!R$22:R$23)*L86</f>
        <v>6.7308548732080375E-6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2.6945785930667592E-5</v>
      </c>
      <c r="L119" s="1">
        <f>'[2]Electricity and CHPs_IN'!R$23/SUM('[2]Electricity and CHPs_IN'!R$22:R$23)*L87</f>
        <v>2.7723020758003056E-3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1.7070502561342231E-2</v>
      </c>
      <c r="G120" s="1">
        <f>'[1]Electricity and CHPs_IN'!M$23/SUM('[1]Electricity and CHPs_IN'!M$22:M$23)*G88</f>
        <v>4.8715836695151912E-3</v>
      </c>
      <c r="H120" s="1">
        <f>'[1]Electricity and CHPs_IN'!N$23/SUM('[1]Electricity and CHPs_IN'!N$22:N$23)*H88</f>
        <v>7.9476149165264659E-2</v>
      </c>
      <c r="I120" s="1">
        <f>'[1]Electricity and CHPs_IN'!O$23/SUM('[1]Electricity and CHPs_IN'!O$22:O$23)*I88</f>
        <v>0.18953572480861203</v>
      </c>
      <c r="J120" s="1">
        <f>'[2]Electricity and CHPs_IN'!P$23/SUM('[2]Electricity and CHPs_IN'!P$22:P$23)*J88</f>
        <v>6.3441589214742449E-3</v>
      </c>
      <c r="K120" s="1">
        <f>'[2]Electricity and CHPs_IN'!Q$23/SUM('[2]Electricity and CHPs_IN'!Q$22:Q$23)*K88</f>
        <v>4.7471313561088638E-4</v>
      </c>
      <c r="L120" s="1">
        <f>'[2]Electricity and CHPs_IN'!R$23/SUM('[2]Electricity and CHPs_IN'!R$22:R$23)*L88</f>
        <v>1.2805557270579101E-4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0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4.176073770435685E-5</v>
      </c>
      <c r="J122" s="1">
        <f>'[2]Electricity and CHPs_IN'!P$23/SUM('[2]Electricity and CHPs_IN'!P$22:P$23)*J90</f>
        <v>2.5088430343107515E-6</v>
      </c>
      <c r="K122" s="1">
        <f>'[2]Electricity and CHPs_IN'!Q$23/SUM('[2]Electricity and CHPs_IN'!Q$22:Q$23)*K90</f>
        <v>9.154254457564283E-7</v>
      </c>
      <c r="L122" s="1">
        <f>'[2]Electricity and CHPs_IN'!R$23/SUM('[2]Electricity and CHPs_IN'!R$22:R$23)*L90</f>
        <v>1.869759057744098E-6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3.3492026733375387E-4</v>
      </c>
      <c r="G123" s="1">
        <f>'[1]Electricity and CHPs_IN'!M$23/SUM('[1]Electricity and CHPs_IN'!M$22:M$23)*G91</f>
        <v>2.5165029577723273E-5</v>
      </c>
      <c r="H123" s="1">
        <f>'[1]Electricity and CHPs_IN'!N$23/SUM('[1]Electricity and CHPs_IN'!N$22:N$23)*H91</f>
        <v>1.6616589236654109E-4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5.6340180900513556E-5</v>
      </c>
      <c r="K123" s="1">
        <f>'[2]Electricity and CHPs_IN'!Q$23/SUM('[2]Electricity and CHPs_IN'!Q$22:Q$23)*K91</f>
        <v>8.9784396011168434E-6</v>
      </c>
      <c r="L123" s="1">
        <f>'[2]Electricity and CHPs_IN'!R$23/SUM('[2]Electricity and CHPs_IN'!R$22:R$23)*L91</f>
        <v>1.709753923160644E-6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1.2532442696327682E-6</v>
      </c>
      <c r="K124" s="1">
        <f>'[2]Electricity and CHPs_IN'!Q$23/SUM('[2]Electricity and CHPs_IN'!Q$22:Q$23)*K92</f>
        <v>5.6548422560068472E-7</v>
      </c>
      <c r="L124" s="1">
        <f>'[2]Electricity and CHPs_IN'!R$23/SUM('[2]Electricity and CHPs_IN'!R$22:R$23)*L92</f>
        <v>5.2537388822437206E-7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7.0550011582075844E-4</v>
      </c>
      <c r="G125" s="1">
        <f>'[1]Electricity and CHPs_IN'!M$23/SUM('[1]Electricity and CHPs_IN'!M$22:M$23)*G93</f>
        <v>4.45482636717956E-5</v>
      </c>
      <c r="H125" s="1">
        <f>'[1]Electricity and CHPs_IN'!N$23/SUM('[1]Electricity and CHPs_IN'!N$22:N$23)*H93</f>
        <v>2.1304875486624443E-4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1.3930592361587607E-2</v>
      </c>
      <c r="K125" s="1">
        <f>'[2]Electricity and CHPs_IN'!Q$23/SUM('[2]Electricity and CHPs_IN'!Q$22:Q$23)*K93</f>
        <v>8.7525808762076458E-3</v>
      </c>
      <c r="L125" s="1">
        <f>'[2]Electricity and CHPs_IN'!R$23/SUM('[2]Electricity and CHPs_IN'!R$22:R$23)*L93</f>
        <v>4.8920501010988344E-3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7.8537543634501606E-6</v>
      </c>
      <c r="K126" s="1">
        <f>'[2]Electricity and CHPs_IN'!Q$23/SUM('[2]Electricity and CHPs_IN'!Q$22:Q$23)*K94</f>
        <v>5.0283605622423267E-6</v>
      </c>
      <c r="L126" s="1">
        <f>'[2]Electricity and CHPs_IN'!R$23/SUM('[2]Electricity and CHPs_IN'!R$22:R$23)*L94</f>
        <v>4.0033443155491926E-6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0.9593676447766335</v>
      </c>
      <c r="G127" s="1">
        <f t="shared" si="123"/>
        <v>1.1059448075564708</v>
      </c>
      <c r="H127" s="1">
        <f t="shared" si="123"/>
        <v>1.1059444382561738</v>
      </c>
      <c r="I127" s="1">
        <f t="shared" si="123"/>
        <v>1.1059445509953427</v>
      </c>
      <c r="J127" s="1">
        <f t="shared" si="123"/>
        <v>1.1059382878509092</v>
      </c>
      <c r="K127" s="1">
        <f t="shared" si="123"/>
        <v>1.1059382607058463</v>
      </c>
      <c r="L127" s="1">
        <f t="shared" ref="L127" si="124">L95</f>
        <v>1.1059382100901844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1.5145085273762019E-2</v>
      </c>
      <c r="G128" s="1">
        <f>'[1]Electricity and CHPs_IN'!M$23/SUM('[1]Electricity and CHPs_IN'!M$22:M$23)*G96</f>
        <v>1.8390680461973265E-2</v>
      </c>
      <c r="H128" s="1">
        <f>'[1]Electricity and CHPs_IN'!N$23/SUM('[1]Electricity and CHPs_IN'!N$22:N$23)*H96</f>
        <v>1.2542159995167497E-3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4.956628008486752E-2</v>
      </c>
      <c r="K128" s="1">
        <f>'[2]Electricity and CHPs_IN'!Q$23/SUM('[2]Electricity and CHPs_IN'!Q$22:Q$23)*K96</f>
        <v>1.9916268278706059E-2</v>
      </c>
      <c r="L128" s="1">
        <f>'[2]Electricity and CHPs_IN'!R$23/SUM('[2]Electricity and CHPs_IN'!R$22:R$23)*L96</f>
        <v>1.2057067177091365E-6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4.2045745592732309E-6</v>
      </c>
      <c r="K129" s="1">
        <f>'[2]Electricity and CHPs_IN'!Q$23/SUM('[2]Electricity and CHPs_IN'!Q$22:Q$23)*K97</f>
        <v>4.004330954947659E-6</v>
      </c>
      <c r="L129" s="1">
        <f>'[2]Electricity and CHPs_IN'!R$23/SUM('[2]Electricity and CHPs_IN'!R$22:R$23)*L97</f>
        <v>2.3628857259170712E-6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8.2845938137722523</v>
      </c>
      <c r="G130" s="1">
        <f t="shared" ref="G130:K130" si="125">SUM(G131:G136)</f>
        <v>8.9572265410345917</v>
      </c>
      <c r="H130" s="1">
        <f t="shared" si="125"/>
        <v>9.5355186438021473</v>
      </c>
      <c r="I130" s="1">
        <f t="shared" si="125"/>
        <v>8.81295438826489</v>
      </c>
      <c r="J130" s="1">
        <f t="shared" si="125"/>
        <v>8.8878067210089515</v>
      </c>
      <c r="K130" s="1">
        <f t="shared" si="125"/>
        <v>9.06340084270769</v>
      </c>
      <c r="L130" s="1">
        <f t="shared" ref="L130" si="126">SUM(L131:L136)</f>
        <v>9.4261326915399142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6.5070001520524157</v>
      </c>
      <c r="G131" s="1">
        <f>'[1]Electricity and CHPs'!C19</f>
        <v>7.3027684791455458</v>
      </c>
      <c r="H131" s="1">
        <f>'[1]Electricity and CHPs'!D19</f>
        <v>8.1988180793970962</v>
      </c>
      <c r="I131" s="1">
        <f>'[1]Electricity and CHPs'!E19</f>
        <v>7.3981388411421944</v>
      </c>
      <c r="J131" s="1">
        <f>'[2]Electricity and CHPs'!F19</f>
        <v>7.4918604646762557</v>
      </c>
      <c r="K131" s="1">
        <f>'[2]Electricity and CHPs'!G19</f>
        <v>7.6680260611045545</v>
      </c>
      <c r="L131" s="1">
        <f>'[2]Electricity and CHPs'!H19</f>
        <v>8.0332768964586556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0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1.5475485809514915</v>
      </c>
      <c r="G133" s="1">
        <f>'[1]Electricity and CHPs'!C26</f>
        <v>1.4243000803949111</v>
      </c>
      <c r="H133" s="1">
        <f>'[1]Electricity and CHPs'!D26</f>
        <v>1.3364046724518277</v>
      </c>
      <c r="I133" s="1">
        <f>'[1]Electricity and CHPs'!E26</f>
        <v>1.4145516217731176</v>
      </c>
      <c r="J133" s="1">
        <f>'[2]Electricity and CHPs'!F26</f>
        <v>1.3956817717334145</v>
      </c>
      <c r="K133" s="1">
        <f>'[2]Electricity and CHPs'!G26</f>
        <v>1.3952703140463616</v>
      </c>
      <c r="L133" s="1">
        <f>'[2]Electricity and CHPs'!H26</f>
        <v>1.3927571768692071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0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0.23004508076834598</v>
      </c>
      <c r="G135" s="1">
        <f>'[1]Electricity and CHPs'!C44</f>
        <v>0.23015798149413452</v>
      </c>
      <c r="H135" s="1">
        <f>'[1]Electricity and CHPs'!D44</f>
        <v>2.958919532228629E-4</v>
      </c>
      <c r="I135" s="1">
        <f>'[1]Electricity and CHPs'!E44</f>
        <v>2.6392534957786484E-4</v>
      </c>
      <c r="J135" s="1">
        <f>'[2]Electricity and CHPs'!F44</f>
        <v>2.6448459928173215E-4</v>
      </c>
      <c r="K135" s="1">
        <f>'[2]Electricity and CHPs'!G44</f>
        <v>1.0446755677402852E-4</v>
      </c>
      <c r="L135" s="1">
        <f>'[2]Electricity and CHPs'!H44</f>
        <v>9.8618212051144259E-5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4.0272743665019535</v>
      </c>
      <c r="G137" s="1">
        <f t="shared" ref="G137:K137" si="128">SUM(G138:G141)</f>
        <v>4.3635342797702279</v>
      </c>
      <c r="H137" s="1">
        <f t="shared" si="128"/>
        <v>4.7676113759244618</v>
      </c>
      <c r="I137" s="1">
        <f t="shared" si="128"/>
        <v>4.4063452314576557</v>
      </c>
      <c r="J137" s="1">
        <f t="shared" si="128"/>
        <v>4.4437711182048352</v>
      </c>
      <c r="K137" s="1">
        <f t="shared" si="128"/>
        <v>4.531648187575458</v>
      </c>
      <c r="L137" s="1">
        <f t="shared" ref="L137" si="129">SUM(L138:L141)</f>
        <v>4.7130170366639312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3.2535000760262078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3.6513842395727725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4.0994090396985481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3.6990694205710968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3.7459302323381278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3.8340130305522768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4.0166384482293278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0.77377429047574586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0.71215004019745554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0.66820233622591385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0.70727581088655878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0.69784088586670723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0.6976351570231808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0.69637858843460354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4.2573194472702998</v>
      </c>
      <c r="G144" s="1">
        <f t="shared" ref="G144:K144" si="130">SUM(G145:G150)</f>
        <v>4.5936922612643629</v>
      </c>
      <c r="H144" s="1">
        <f t="shared" si="130"/>
        <v>4.7679072678776846</v>
      </c>
      <c r="I144" s="1">
        <f t="shared" si="130"/>
        <v>4.4066091568072343</v>
      </c>
      <c r="J144" s="1">
        <f t="shared" si="130"/>
        <v>4.4440356028041172</v>
      </c>
      <c r="K144" s="1">
        <f t="shared" si="130"/>
        <v>4.5317526551322329</v>
      </c>
      <c r="L144" s="1">
        <f t="shared" ref="L144" si="131">SUM(L145:L150)</f>
        <v>4.7131156548759821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3.2535000760262078</v>
      </c>
      <c r="G145" s="1">
        <f t="shared" ref="G145:K145" si="132">G131-G138</f>
        <v>3.6513842395727734</v>
      </c>
      <c r="H145" s="1">
        <f t="shared" si="132"/>
        <v>4.0994090396985481</v>
      </c>
      <c r="I145" s="1">
        <f t="shared" si="132"/>
        <v>3.6990694205710977</v>
      </c>
      <c r="J145" s="1">
        <f t="shared" si="132"/>
        <v>3.7459302323381278</v>
      </c>
      <c r="K145" s="1">
        <f t="shared" si="132"/>
        <v>3.8340130305522777</v>
      </c>
      <c r="L145" s="1">
        <f t="shared" ref="L145" si="133">L131-L138</f>
        <v>4.0166384482293278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0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0.77377429047574564</v>
      </c>
      <c r="G147" s="1">
        <f t="shared" si="136"/>
        <v>0.71215004019745554</v>
      </c>
      <c r="H147" s="1">
        <f t="shared" si="136"/>
        <v>0.66820233622591385</v>
      </c>
      <c r="I147" s="1">
        <f t="shared" si="136"/>
        <v>0.70727581088655878</v>
      </c>
      <c r="J147" s="1">
        <f t="shared" si="136"/>
        <v>0.69784088586670723</v>
      </c>
      <c r="K147" s="1">
        <f t="shared" si="136"/>
        <v>0.6976351570231808</v>
      </c>
      <c r="L147" s="1">
        <f t="shared" ref="L147" si="137">L133-L140</f>
        <v>0.69637858843460354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0.23004508076834598</v>
      </c>
      <c r="G149" s="1">
        <f t="shared" si="140"/>
        <v>0.23015798149413452</v>
      </c>
      <c r="H149" s="1">
        <f t="shared" si="140"/>
        <v>2.958919532228629E-4</v>
      </c>
      <c r="I149" s="1">
        <f t="shared" si="140"/>
        <v>2.6392534957786484E-4</v>
      </c>
      <c r="J149" s="1">
        <f t="shared" si="140"/>
        <v>2.6448459928173215E-4</v>
      </c>
      <c r="K149" s="1">
        <f t="shared" si="140"/>
        <v>1.0446755677402852E-4</v>
      </c>
      <c r="L149" s="1">
        <f t="shared" ref="L149" si="141">L135-L142</f>
        <v>9.8618212051144259E-5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0.52924920450747637</v>
      </c>
      <c r="G151" s="1">
        <f t="shared" ref="G151:K151" si="147">SUM(G152:G158)</f>
        <v>0.52924598682194857</v>
      </c>
      <c r="H151" s="1">
        <f t="shared" si="147"/>
        <v>1.2711650197590809</v>
      </c>
      <c r="I151" s="1">
        <f t="shared" si="147"/>
        <v>2.6712838783445259</v>
      </c>
      <c r="J151" s="1">
        <f t="shared" si="147"/>
        <v>3.5854533102349149</v>
      </c>
      <c r="K151" s="1">
        <f t="shared" si="147"/>
        <v>4.5417488009014981</v>
      </c>
      <c r="L151" s="1">
        <f t="shared" ref="L151" si="148">SUM(L152:L158)</f>
        <v>4.5417525797821989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0.35678446084797527</v>
      </c>
      <c r="G152" s="1">
        <f>'[1]Electricity and CHPs'!C25</f>
        <v>7.0788979913009337E-2</v>
      </c>
      <c r="H152" s="1">
        <f>'[1]Electricity and CHPs'!D25</f>
        <v>1.5026042914924159E-2</v>
      </c>
      <c r="I152" s="1">
        <f>'[1]Electricity and CHPs'!E25</f>
        <v>1.0672528061508546</v>
      </c>
      <c r="J152" s="1">
        <f>'[2]Electricity and CHPs'!F25</f>
        <v>1.004274890904393</v>
      </c>
      <c r="K152" s="1">
        <f>'[2]Electricity and CHPs'!G25</f>
        <v>1.0606200199151909</v>
      </c>
      <c r="L152" s="1">
        <f>'[2]Electricity and CHPs'!H25</f>
        <v>1.7004151231163799E-2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0.17246474365950104</v>
      </c>
      <c r="G154" s="1">
        <f>'[1]Electricity and CHPs'!C42</f>
        <v>0.4584570069089392</v>
      </c>
      <c r="H154" s="1">
        <f>'[1]Electricity and CHPs'!D42</f>
        <v>1.2561389768441567</v>
      </c>
      <c r="I154" s="1">
        <f>'[1]Electricity and CHPs'!E42</f>
        <v>1.604031072193671</v>
      </c>
      <c r="J154" s="1">
        <f>'[2]Electricity and CHPs'!F42</f>
        <v>2.5803181120598007</v>
      </c>
      <c r="K154" s="1">
        <f>'[2]Electricity and CHPs'!G42</f>
        <v>3.4806515082945415</v>
      </c>
      <c r="L154" s="1">
        <f>'[2]Electricity and CHPs'!H42</f>
        <v>4.5240111246288102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0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2.0859976393309231E-4</v>
      </c>
      <c r="K156" s="1">
        <f>'[2]Electricity and CHPs'!G50</f>
        <v>1.4547132526385189E-4</v>
      </c>
      <c r="L156" s="1">
        <f>'[2]Electricity and CHPs'!H50</f>
        <v>1.7458683198582565E-4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4.2099166730066634E-4</v>
      </c>
      <c r="K157" s="1">
        <f>'[2]Electricity and CHPs'!G53</f>
        <v>2.1047490869844168E-4</v>
      </c>
      <c r="L157" s="1">
        <f>'[2]Electricity and CHPs'!H53</f>
        <v>4.7467635519091611E-4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2.3071583948724853E-4</v>
      </c>
      <c r="K158" s="1">
        <f>'[2]Electricity and CHPs'!G56</f>
        <v>1.2132645780387389E-4</v>
      </c>
      <c r="L158" s="1">
        <f>'[2]Electricity and CHPs'!H56</f>
        <v>8.804073504807749E-5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0.54529210298713582</v>
      </c>
      <c r="H159" s="1">
        <f t="shared" si="149"/>
        <v>0.50316470132068525</v>
      </c>
      <c r="I159" s="1">
        <f t="shared" si="149"/>
        <v>2.0502622389415159</v>
      </c>
      <c r="J159" s="1">
        <f t="shared" si="149"/>
        <v>0.87543233236874141</v>
      </c>
      <c r="K159" s="1">
        <f t="shared" si="149"/>
        <v>0.87543265782720092</v>
      </c>
      <c r="L159" s="1">
        <f t="shared" si="149"/>
        <v>0.8754315673080405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0.54529210298713582</v>
      </c>
      <c r="H160" s="1">
        <f>'[1]Electricity and CHPs'!D33</f>
        <v>0.50316470132068525</v>
      </c>
      <c r="I160" s="1">
        <f>'[1]Electricity and CHPs'!E33</f>
        <v>2.0502622389415159</v>
      </c>
      <c r="J160" s="1">
        <f>'[2]Electricity and CHPs'!F33</f>
        <v>0.87543233236874141</v>
      </c>
      <c r="K160" s="1">
        <f>'[2]Electricity and CHPs'!G33</f>
        <v>0.87543265782720092</v>
      </c>
      <c r="L160" s="1">
        <f>'[2]Electricity and CHPs'!H33</f>
        <v>0.8754315673080405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12.821350215597745</v>
      </c>
      <c r="H161" s="1">
        <f t="shared" si="150"/>
        <v>28.80000326476668</v>
      </c>
      <c r="I161" s="1">
        <f t="shared" si="150"/>
        <v>38.961031099395207</v>
      </c>
      <c r="J161" s="1">
        <f t="shared" si="150"/>
        <v>32.886034669085973</v>
      </c>
      <c r="K161" s="1">
        <f t="shared" si="150"/>
        <v>34.599760551437797</v>
      </c>
      <c r="L161" s="1">
        <f t="shared" ref="L161" si="151">SUM(L162:L166)</f>
        <v>38.085701895159474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0.14080626641931424</v>
      </c>
      <c r="I162" s="1">
        <f>'[1]Electricity and CHPs'!E34</f>
        <v>0.57934225734925171</v>
      </c>
      <c r="J162" s="1">
        <f>'[2]Electricity and CHPs'!F34</f>
        <v>0.23924282715248987</v>
      </c>
      <c r="K162" s="1">
        <f>'[2]Electricity and CHPs'!G34</f>
        <v>0.23948049740786972</v>
      </c>
      <c r="L162" s="1">
        <f>'[2]Electricity and CHPs'!H34</f>
        <v>2.2557570964643638E-2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4.8486222706482938</v>
      </c>
      <c r="H163" s="1">
        <f>'[1]Electricity and CHPs'!D35</f>
        <v>11.161492733716585</v>
      </c>
      <c r="I163" s="1">
        <f>'[1]Electricity and CHPs'!E35</f>
        <v>19.477109007315924</v>
      </c>
      <c r="J163" s="1">
        <f>'[2]Electricity and CHPs'!F35</f>
        <v>12.732508415673539</v>
      </c>
      <c r="K163" s="1">
        <f>'[2]Electricity and CHPs'!G35</f>
        <v>13.381994452594038</v>
      </c>
      <c r="L163" s="1">
        <f>'[2]Electricity and CHPs'!H35</f>
        <v>14.782047109859183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3.3906769249173712</v>
      </c>
      <c r="H164" s="1">
        <f>'[1]Electricity and CHPs'!D36</f>
        <v>4.0409717607174107</v>
      </c>
      <c r="I164" s="1">
        <f>'[1]Electricity and CHPs'!E36</f>
        <v>4.3446264915594917</v>
      </c>
      <c r="J164" s="1">
        <f>'[2]Electricity and CHPs'!F36</f>
        <v>4.6112489399037866</v>
      </c>
      <c r="K164" s="1">
        <f>'[2]Electricity and CHPs'!G36</f>
        <v>4.8946423703026545</v>
      </c>
      <c r="L164" s="1">
        <f>'[2]Electricity and CHPs'!H36</f>
        <v>5.5147490394225933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1.2875959332939062</v>
      </c>
      <c r="H165" s="1">
        <f>'[1]Electricity and CHPs'!D37</f>
        <v>3.4901269439935434</v>
      </c>
      <c r="I165" s="1">
        <f>'[1]Electricity and CHPs'!E37</f>
        <v>3.822219782981545</v>
      </c>
      <c r="J165" s="1">
        <f>'[2]Electricity and CHPs'!F37</f>
        <v>4.0175690974435092</v>
      </c>
      <c r="K165" s="1">
        <f>'[2]Electricity and CHPs'!G37</f>
        <v>4.2225056370941676</v>
      </c>
      <c r="L165" s="1">
        <f>'[2]Electricity and CHPs'!H37</f>
        <v>4.6642732180146895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3.2944550867381746</v>
      </c>
      <c r="H166" s="1">
        <f>'[1]Electricity and CHPs'!D38</f>
        <v>9.966605559919822</v>
      </c>
      <c r="I166" s="1">
        <f>'[1]Electricity and CHPs'!E38</f>
        <v>10.737733560188992</v>
      </c>
      <c r="J166" s="1">
        <f>'[2]Electricity and CHPs'!F38</f>
        <v>11.285465388912652</v>
      </c>
      <c r="K166" s="1">
        <f>'[2]Electricity and CHPs'!G38</f>
        <v>11.861137594039064</v>
      </c>
      <c r="L166" s="1">
        <f>'[2]Electricity and CHPs'!H38</f>
        <v>13.102074956898365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1.2804644885137608E-4</v>
      </c>
      <c r="L167" s="1">
        <f>'[2]Electricity and CHPs'!H32</f>
        <v>6.6437604934575865E-4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1.2804644885137608E-4</v>
      </c>
      <c r="L168" s="1">
        <f t="shared" ref="L168" si="156">L167</f>
        <v>6.6437604934575865E-4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0</v>
      </c>
      <c r="J169" s="1">
        <f t="shared" si="157"/>
        <v>0</v>
      </c>
      <c r="K169" s="1">
        <f t="shared" si="157"/>
        <v>0</v>
      </c>
      <c r="L169" s="1">
        <f t="shared" ref="L169" si="158">SUM(L170:L172)</f>
        <v>0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</v>
      </c>
      <c r="L170" s="1">
        <f>'[2]Electricity and CHPs'!H30</f>
        <v>0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0</v>
      </c>
      <c r="K171" s="1">
        <f>'[2]Electricity and CHPs'!G46</f>
        <v>0</v>
      </c>
      <c r="L171" s="1">
        <f>'[2]Electricity and CHPs'!H46</f>
        <v>0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0</v>
      </c>
      <c r="K172" s="1">
        <f>'[2]Electricity and CHPs'!G57</f>
        <v>0</v>
      </c>
      <c r="L172" s="1">
        <f>'[2]Electricity and CHPs'!H57</f>
        <v>0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9.9393187986047182E-2</v>
      </c>
      <c r="G173" s="1">
        <f t="shared" ref="G173:K173" si="160">SUM(G174:G180)</f>
        <v>8.2536646250096178E-3</v>
      </c>
      <c r="H173" s="1">
        <f t="shared" si="160"/>
        <v>0.61805766641295556</v>
      </c>
      <c r="I173" s="1">
        <f t="shared" si="160"/>
        <v>0.51245408929098013</v>
      </c>
      <c r="J173" s="1">
        <f t="shared" si="160"/>
        <v>0.2703170340409764</v>
      </c>
      <c r="K173" s="1">
        <f t="shared" si="160"/>
        <v>4.3427297972450193E-2</v>
      </c>
      <c r="L173" s="1">
        <f t="shared" ref="L173" si="161">SUM(L174:L180)</f>
        <v>0.46466915524558849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9.4514589055027284E-2</v>
      </c>
      <c r="G174" s="1">
        <f>'[1]Electricity and CHPs'!C70</f>
        <v>4.0065384849682327E-3</v>
      </c>
      <c r="H174" s="1">
        <f>'[1]Electricity and CHPs'!D70</f>
        <v>1.9592865137364069E-2</v>
      </c>
      <c r="I174" s="1">
        <f>'[1]Electricity and CHPs'!E70</f>
        <v>2.1973018464116881E-2</v>
      </c>
      <c r="J174" s="1">
        <f>'[2]Electricity and CHPs'!F70</f>
        <v>3.2660928398461052E-4</v>
      </c>
      <c r="K174" s="1">
        <f>'[2]Electricity and CHPs'!G70</f>
        <v>1.4230223170760565E-4</v>
      </c>
      <c r="L174" s="1">
        <f>'[2]Electricity and CHPs'!H70</f>
        <v>3.3801584032317638E-4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1.3317454006918146E-3</v>
      </c>
      <c r="G175" s="1">
        <f>'[1]Electricity and CHPs'!C71</f>
        <v>9.9708434125425258E-4</v>
      </c>
      <c r="H175" s="1">
        <f>'[1]Electricity and CHPs'!D71</f>
        <v>1.7309873094720901E-2</v>
      </c>
      <c r="I175" s="1">
        <f>'[1]Electricity and CHPs'!E71</f>
        <v>4.3766006679706572E-2</v>
      </c>
      <c r="J175" s="1">
        <f>'[2]Electricity and CHPs'!F71</f>
        <v>5.5959467158985688E-3</v>
      </c>
      <c r="K175" s="1">
        <f>'[2]Electricity and CHPs'!G71</f>
        <v>5.5985220917045882E-3</v>
      </c>
      <c r="L175" s="1">
        <f>'[2]Electricity and CHPs'!H71</f>
        <v>5.3961022161024504E-2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1.196373329620501E-3</v>
      </c>
      <c r="G176" s="1">
        <f>'[1]Electricity and CHPs'!C72</f>
        <v>9.1410815747314776E-4</v>
      </c>
      <c r="H176" s="1">
        <f>'[1]Electricity and CHPs'!D72</f>
        <v>1.6591688888070725E-2</v>
      </c>
      <c r="I176" s="1">
        <f>'[1]Electricity and CHPs'!E72</f>
        <v>3.3233102588472271E-2</v>
      </c>
      <c r="J176" s="1">
        <f>'[2]Electricity and CHPs'!F72</f>
        <v>1.6159619383630655E-2</v>
      </c>
      <c r="K176" s="1">
        <f>'[2]Electricity and CHPs'!G72</f>
        <v>2.6686731659615018E-3</v>
      </c>
      <c r="L176" s="1">
        <f>'[2]Electricity and CHPs'!H72</f>
        <v>2.5349042133521429E-2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3.9501986098739036E-4</v>
      </c>
      <c r="G177" s="1">
        <f>'[1]Electricity and CHPs'!C73</f>
        <v>3.927010851207019E-4</v>
      </c>
      <c r="H177" s="1">
        <f>'[1]Electricity and CHPs'!D73</f>
        <v>0.11085669778146721</v>
      </c>
      <c r="I177" s="1">
        <f>'[1]Electricity and CHPs'!E73</f>
        <v>0.19966215499985171</v>
      </c>
      <c r="J177" s="1">
        <f>'[2]Electricity and CHPs'!F73</f>
        <v>6.0134724632375146E-2</v>
      </c>
      <c r="K177" s="1">
        <f>'[2]Electricity and CHPs'!G73</f>
        <v>7.6581185220922655E-3</v>
      </c>
      <c r="L177" s="1">
        <f>'[2]Electricity and CHPs'!H73</f>
        <v>9.3174103387715701E-2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7.8679156802894746E-4</v>
      </c>
      <c r="G178" s="1">
        <f>'[1]Electricity and CHPs'!C74</f>
        <v>7.8182836716881763E-4</v>
      </c>
      <c r="H178" s="1">
        <f>'[1]Electricity and CHPs'!D74</f>
        <v>0.20015719087856509</v>
      </c>
      <c r="I178" s="1">
        <f>'[1]Electricity and CHPs'!E74</f>
        <v>8.7966392368422491E-2</v>
      </c>
      <c r="J178" s="1">
        <f>'[2]Electricity and CHPs'!F74</f>
        <v>7.4295115147408247E-2</v>
      </c>
      <c r="K178" s="1">
        <f>'[2]Electricity and CHPs'!G74</f>
        <v>4.9515463346906079E-3</v>
      </c>
      <c r="L178" s="1">
        <f>'[2]Electricity and CHPs'!H74</f>
        <v>0.11258053310957666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7.717521283479062E-4</v>
      </c>
      <c r="G179" s="1">
        <f>'[1]Electricity and CHPs'!C75</f>
        <v>7.6683661121047277E-4</v>
      </c>
      <c r="H179" s="1">
        <f>'[1]Electricity and CHPs'!D75</f>
        <v>6.139790945112765E-2</v>
      </c>
      <c r="I179" s="1">
        <f>'[1]Electricity and CHPs'!E75</f>
        <v>3.1806120436836852E-2</v>
      </c>
      <c r="J179" s="1">
        <f>'[2]Electricity and CHPs'!F75</f>
        <v>2.8224509375309195E-2</v>
      </c>
      <c r="K179" s="1">
        <f>'[2]Electricity and CHPs'!G75</f>
        <v>4.4179833975062912E-3</v>
      </c>
      <c r="L179" s="1">
        <f>'[2]Electricity and CHPs'!H75</f>
        <v>4.2602554780740702E-2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3.9691664334334993E-4</v>
      </c>
      <c r="G180" s="1">
        <f>'[1]Electricity and CHPs'!C76</f>
        <v>3.9456757781399236E-4</v>
      </c>
      <c r="H180" s="1">
        <f>'[1]Electricity and CHPs'!D76</f>
        <v>0.19215144118163985</v>
      </c>
      <c r="I180" s="1">
        <f>'[1]Electricity and CHPs'!E76</f>
        <v>9.4047293753573305E-2</v>
      </c>
      <c r="J180" s="1">
        <f>'[2]Electricity and CHPs'!F76</f>
        <v>8.5580509502369992E-2</v>
      </c>
      <c r="K180" s="1">
        <f>'[2]Electricity and CHPs'!G76</f>
        <v>1.7990152228787332E-2</v>
      </c>
      <c r="L180" s="1">
        <f>'[2]Electricity and CHPs'!H76</f>
        <v>0.13666388383268627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31.008856218128223</v>
      </c>
      <c r="G181" s="3">
        <f t="shared" ref="G181:K181" si="162">SUM(G182,G233)</f>
        <v>37.394709560187053</v>
      </c>
      <c r="H181" s="3">
        <f t="shared" si="162"/>
        <v>34.206695255508073</v>
      </c>
      <c r="I181" s="3">
        <f t="shared" si="162"/>
        <v>34.906068368587981</v>
      </c>
      <c r="J181" s="3">
        <f t="shared" si="162"/>
        <v>43.022963846630432</v>
      </c>
      <c r="K181" s="3">
        <f t="shared" si="162"/>
        <v>44.627116161807677</v>
      </c>
      <c r="L181" s="3">
        <f t="shared" ref="L181" si="163">SUM(L182,L233)</f>
        <v>41.946365089135625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24.507909140893275</v>
      </c>
      <c r="G182" s="1">
        <f t="shared" si="164"/>
        <v>29.346025839459308</v>
      </c>
      <c r="H182" s="1">
        <f t="shared" si="164"/>
        <v>27.797030678905212</v>
      </c>
      <c r="I182" s="1">
        <f t="shared" si="164"/>
        <v>27.335164962162466</v>
      </c>
      <c r="J182" s="1">
        <f t="shared" si="164"/>
        <v>26.076971351070245</v>
      </c>
      <c r="K182" s="1">
        <f t="shared" si="164"/>
        <v>26.454071652679879</v>
      </c>
      <c r="L182" s="1">
        <f t="shared" ref="L182" si="165">L183+L210</f>
        <v>29.427086991217426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17.458707819281983</v>
      </c>
      <c r="G183" s="1">
        <f t="shared" si="166"/>
        <v>13.485855454855779</v>
      </c>
      <c r="H183" s="1">
        <f t="shared" si="166"/>
        <v>12.807843116413085</v>
      </c>
      <c r="I183" s="1">
        <f t="shared" si="166"/>
        <v>15.588992461363155</v>
      </c>
      <c r="J183" s="1">
        <f t="shared" si="166"/>
        <v>14.973240378012498</v>
      </c>
      <c r="K183" s="1">
        <f t="shared" si="166"/>
        <v>14.817326420829387</v>
      </c>
      <c r="L183" s="1">
        <f t="shared" ref="L183" si="167">SUM(L185,L189,L190,L198,L199,L207,L209)</f>
        <v>12.708298602473732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9.262239067500188E-3</v>
      </c>
      <c r="G184" s="1">
        <f t="shared" ref="G184:L184" si="168">G185</f>
        <v>2.2066512338427986E-4</v>
      </c>
      <c r="H184" s="1">
        <f t="shared" si="168"/>
        <v>2.4392482263986548E-3</v>
      </c>
      <c r="I184" s="1">
        <f t="shared" si="168"/>
        <v>6.4393840042161995E-4</v>
      </c>
      <c r="J184" s="1">
        <f t="shared" si="168"/>
        <v>6.3215547680298492E-4</v>
      </c>
      <c r="K184" s="1">
        <f t="shared" si="168"/>
        <v>4.1955653338693479E-4</v>
      </c>
      <c r="L184" s="1">
        <f t="shared" si="168"/>
        <v>6.4322821003699087E-4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9.262239067500188E-3</v>
      </c>
      <c r="G185" s="1">
        <f>'[1]Electricity and CHPs'!C$94</f>
        <v>2.2066512338427986E-4</v>
      </c>
      <c r="H185" s="1">
        <f>'[1]Electricity and CHPs'!D$94</f>
        <v>2.4392482263986548E-3</v>
      </c>
      <c r="I185" s="1">
        <f>'[1]Electricity and CHPs'!E$94</f>
        <v>6.4393840042161995E-4</v>
      </c>
      <c r="J185" s="1">
        <f>'[2]Electricity and CHPs'!F$94</f>
        <v>6.3215547680298492E-4</v>
      </c>
      <c r="K185" s="1">
        <f>'[2]Electricity and CHPs'!G$94</f>
        <v>4.1955653338693479E-4</v>
      </c>
      <c r="L185" s="1">
        <f>'[2]Electricity and CHPs'!H$94</f>
        <v>6.4322821003699087E-4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9.262239067500188E-3</v>
      </c>
      <c r="G186" s="1">
        <f t="shared" ref="G186:K186" si="169">G185-G187</f>
        <v>2.2066512338427986E-4</v>
      </c>
      <c r="H186" s="1">
        <f t="shared" si="169"/>
        <v>2.4392482263986548E-3</v>
      </c>
      <c r="I186" s="1">
        <f t="shared" si="169"/>
        <v>6.4393840042161995E-4</v>
      </c>
      <c r="J186" s="1">
        <f t="shared" si="169"/>
        <v>6.3215547680298492E-4</v>
      </c>
      <c r="K186" s="1">
        <f t="shared" si="169"/>
        <v>4.1955653338693479E-4</v>
      </c>
      <c r="L186" s="1">
        <f t="shared" ref="L186" si="170">L185-L187</f>
        <v>6.4322821003699087E-4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1.8035525350352892</v>
      </c>
      <c r="G188" s="1">
        <f t="shared" ref="G188:K188" si="173">SUM(G189:G190)</f>
        <v>3.2845107055776769E-4</v>
      </c>
      <c r="H188" s="1">
        <f t="shared" si="173"/>
        <v>0.1486176336031976</v>
      </c>
      <c r="I188" s="1">
        <f t="shared" si="173"/>
        <v>1.7630024029392188E-2</v>
      </c>
      <c r="J188" s="1">
        <f t="shared" si="173"/>
        <v>3.2860741427793772E-3</v>
      </c>
      <c r="K188" s="1">
        <f t="shared" si="173"/>
        <v>8.3940147798624611E-3</v>
      </c>
      <c r="L188" s="1">
        <f t="shared" ref="L188" si="174">SUM(L189:L190)</f>
        <v>0.71534540831617388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1.8035525350352892</v>
      </c>
      <c r="G189" s="1">
        <f>'[1]Electricity and CHPs'!C$91</f>
        <v>3.2845107055776769E-4</v>
      </c>
      <c r="H189" s="1">
        <f>'[1]Electricity and CHPs'!D$91</f>
        <v>0.1486176336031976</v>
      </c>
      <c r="I189" s="1">
        <f>'[1]Electricity and CHPs'!E$91</f>
        <v>1.7630024029392188E-2</v>
      </c>
      <c r="J189" s="1">
        <f>'[2]Electricity and CHPs'!F$91</f>
        <v>3.2860741427793772E-3</v>
      </c>
      <c r="K189" s="1">
        <f>'[2]Electricity and CHPs'!G$91</f>
        <v>1.4176145339661974E-3</v>
      </c>
      <c r="L189" s="1">
        <f>'[2]Electricity and CHPs'!H$91</f>
        <v>2.7332748860722823E-3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6.9764002458962632E-3</v>
      </c>
      <c r="L190" s="1">
        <f>'[2]Electricity and CHPs'!H$95</f>
        <v>0.71261213343010155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1.7575987114200669</v>
      </c>
      <c r="G191" s="1">
        <f t="shared" ref="G191:K191" si="175">SUM(G192:G193)</f>
        <v>3.1879980214456587E-4</v>
      </c>
      <c r="H191" s="1">
        <f t="shared" si="175"/>
        <v>0.13625190350896049</v>
      </c>
      <c r="I191" s="1">
        <f t="shared" si="175"/>
        <v>1.5270136841022346E-2</v>
      </c>
      <c r="J191" s="1">
        <f t="shared" si="175"/>
        <v>3.2482136211368995E-3</v>
      </c>
      <c r="K191" s="1">
        <f t="shared" si="175"/>
        <v>8.3526777393163922E-3</v>
      </c>
      <c r="L191" s="1">
        <f t="shared" ref="L191" si="176">SUM(L192:L193)</f>
        <v>0.71165801885948932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1.7575987114200669</v>
      </c>
      <c r="G192" s="1">
        <f t="shared" ref="G192:K192" si="177">G189-G195</f>
        <v>3.1879980214456587E-4</v>
      </c>
      <c r="H192" s="1">
        <f t="shared" si="177"/>
        <v>0.13625190350896049</v>
      </c>
      <c r="I192" s="1">
        <f t="shared" si="177"/>
        <v>1.5270136841022346E-2</v>
      </c>
      <c r="J192" s="1">
        <f t="shared" si="177"/>
        <v>3.2482136211368995E-3</v>
      </c>
      <c r="K192" s="1">
        <f t="shared" si="177"/>
        <v>1.4106333704817298E-3</v>
      </c>
      <c r="L192" s="1">
        <f t="shared" ref="L192" si="178">L189-L195</f>
        <v>2.7191856798231681E-3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6.9420443688346621E-3</v>
      </c>
      <c r="L193" s="1">
        <f t="shared" ref="L193" si="180">L190-L196</f>
        <v>0.70893883317966611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4.5953823615222281E-2</v>
      </c>
      <c r="G194" s="1">
        <f t="shared" ref="G194:K194" si="181">SUM(G195:G196)</f>
        <v>9.6512684132018428E-6</v>
      </c>
      <c r="H194" s="1">
        <f t="shared" si="181"/>
        <v>1.2365730094237116E-2</v>
      </c>
      <c r="I194" s="1">
        <f t="shared" si="181"/>
        <v>2.3598871883698429E-3</v>
      </c>
      <c r="J194" s="1">
        <f t="shared" si="181"/>
        <v>3.786052164247783E-5</v>
      </c>
      <c r="K194" s="1">
        <f t="shared" si="181"/>
        <v>4.1337040546068755E-5</v>
      </c>
      <c r="L194" s="1">
        <f t="shared" ref="L194" si="182">SUM(L195:L196)</f>
        <v>3.687389456684521E-3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4.5953823615222281E-2</v>
      </c>
      <c r="G195" s="1">
        <f t="shared" si="183"/>
        <v>9.6512684132018428E-6</v>
      </c>
      <c r="H195" s="1">
        <f t="shared" si="183"/>
        <v>1.2365730094237116E-2</v>
      </c>
      <c r="I195" s="1">
        <f t="shared" si="183"/>
        <v>2.3598871883698429E-3</v>
      </c>
      <c r="J195" s="1">
        <f t="shared" si="183"/>
        <v>3.786052164247783E-5</v>
      </c>
      <c r="K195" s="1">
        <f t="shared" si="183"/>
        <v>6.9811634844675904E-6</v>
      </c>
      <c r="L195" s="1">
        <f t="shared" ref="L195" si="184">L189*IFERROR(L118/L86,0)</f>
        <v>1.4089206249114387E-5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3.4355877061601167E-5</v>
      </c>
      <c r="L196" s="1">
        <f t="shared" ref="L196" si="185">L190*IFERROR(L119/L87,0)</f>
        <v>3.6733002504354068E-3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14.461262506045051</v>
      </c>
      <c r="G197" s="1">
        <f t="shared" ref="G197:K197" si="186">SUM(G198:G199)</f>
        <v>13.051648122990354</v>
      </c>
      <c r="H197" s="1">
        <f t="shared" si="186"/>
        <v>12.14799542740662</v>
      </c>
      <c r="I197" s="1">
        <f t="shared" si="186"/>
        <v>12.779635147773988</v>
      </c>
      <c r="J197" s="1">
        <f t="shared" si="186"/>
        <v>12.342947729491375</v>
      </c>
      <c r="K197" s="1">
        <f t="shared" si="186"/>
        <v>12.034787737752353</v>
      </c>
      <c r="L197" s="1">
        <f t="shared" ref="L197" si="187">SUM(L198:L199)</f>
        <v>11.399073086404607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14.461262506045051</v>
      </c>
      <c r="G198" s="1">
        <f>'[1]Electricity and CHPs'!C$93-G199</f>
        <v>13.051648122990354</v>
      </c>
      <c r="H198" s="1">
        <f>'[1]Electricity and CHPs'!D$93-H199</f>
        <v>12.14799542740662</v>
      </c>
      <c r="I198" s="1">
        <f>'[1]Electricity and CHPs'!E$93-I199</f>
        <v>12.779635147773988</v>
      </c>
      <c r="J198" s="1">
        <f>'[2]Electricity and CHPs'!F$93-J199</f>
        <v>12.342947729491375</v>
      </c>
      <c r="K198" s="1">
        <f>'[2]Electricity and CHPs'!G$93-K199</f>
        <v>12.034787737752353</v>
      </c>
      <c r="L198" s="1">
        <f>'[2]Electricity and CHPs'!H$93-L199</f>
        <v>11.399073086404607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0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7.2306312530225263</v>
      </c>
      <c r="G200" s="1">
        <f t="shared" ref="G200:K200" si="188">SUM(G201:G202)</f>
        <v>6.525824061495177</v>
      </c>
      <c r="H200" s="1">
        <f t="shared" si="188"/>
        <v>6.0739977137033101</v>
      </c>
      <c r="I200" s="1">
        <f t="shared" si="188"/>
        <v>6.3898175738869938</v>
      </c>
      <c r="J200" s="1">
        <f t="shared" si="188"/>
        <v>6.1714738647456873</v>
      </c>
      <c r="K200" s="1">
        <f t="shared" si="188"/>
        <v>6.0173938688761766</v>
      </c>
      <c r="L200" s="1">
        <f t="shared" ref="L200" si="189">SUM(L201:L202)</f>
        <v>5.6995365432023037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7.2306312530225263</v>
      </c>
      <c r="G201" s="1">
        <f t="shared" si="190"/>
        <v>6.525824061495177</v>
      </c>
      <c r="H201" s="1">
        <f t="shared" si="190"/>
        <v>6.0739977137033101</v>
      </c>
      <c r="I201" s="1">
        <f t="shared" si="190"/>
        <v>6.3898175738869938</v>
      </c>
      <c r="J201" s="1">
        <f t="shared" si="190"/>
        <v>6.1714738647456873</v>
      </c>
      <c r="K201" s="1">
        <f t="shared" si="190"/>
        <v>6.0173938688761766</v>
      </c>
      <c r="L201" s="1">
        <f t="shared" ref="L201" si="191">L198*L140/L133</f>
        <v>5.6995365432023037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0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7.2306312530225245</v>
      </c>
      <c r="G203" s="1">
        <f t="shared" ref="G203:K203" si="194">SUM(G204:G205)</f>
        <v>6.525824061495177</v>
      </c>
      <c r="H203" s="1">
        <f t="shared" si="194"/>
        <v>6.0739977137033101</v>
      </c>
      <c r="I203" s="1">
        <f t="shared" si="194"/>
        <v>6.3898175738869938</v>
      </c>
      <c r="J203" s="1">
        <f t="shared" si="194"/>
        <v>6.1714738647456873</v>
      </c>
      <c r="K203" s="1">
        <f t="shared" si="194"/>
        <v>6.0173938688761766</v>
      </c>
      <c r="L203" s="1">
        <f t="shared" ref="L203" si="195">SUM(L204:L205)</f>
        <v>5.6995365432023037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7.2306312530225245</v>
      </c>
      <c r="G204" s="1">
        <f t="shared" si="196"/>
        <v>6.525824061495177</v>
      </c>
      <c r="H204" s="1">
        <f t="shared" si="196"/>
        <v>6.0739977137033101</v>
      </c>
      <c r="I204" s="1">
        <f t="shared" si="196"/>
        <v>6.3898175738869938</v>
      </c>
      <c r="J204" s="1">
        <f t="shared" si="196"/>
        <v>6.1714738647456873</v>
      </c>
      <c r="K204" s="1">
        <f t="shared" si="196"/>
        <v>6.0173938688761766</v>
      </c>
      <c r="L204" s="1">
        <f t="shared" ref="L204" si="197">L198-L201</f>
        <v>5.6995365432023037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0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1.1846305391341421</v>
      </c>
      <c r="G206" s="1">
        <f t="shared" ref="G206:L206" si="199">G207</f>
        <v>0.43365821567148233</v>
      </c>
      <c r="H206" s="1">
        <f t="shared" si="199"/>
        <v>0.50879080717686853</v>
      </c>
      <c r="I206" s="1">
        <f t="shared" si="199"/>
        <v>2.7910833511593554</v>
      </c>
      <c r="J206" s="1">
        <f t="shared" si="199"/>
        <v>2.6263744189015412</v>
      </c>
      <c r="K206" s="1">
        <f t="shared" si="199"/>
        <v>2.7737251117637851</v>
      </c>
      <c r="L206" s="1">
        <f t="shared" si="199"/>
        <v>0.59323687954291482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1.1846305391341421</v>
      </c>
      <c r="G207" s="1">
        <f>'[1]Electricity and CHPs'!C$92</f>
        <v>0.43365821567148233</v>
      </c>
      <c r="H207" s="1">
        <f>'[1]Electricity and CHPs'!D$92</f>
        <v>0.50879080717686853</v>
      </c>
      <c r="I207" s="1">
        <f>'[1]Electricity and CHPs'!E$92</f>
        <v>2.7910833511593554</v>
      </c>
      <c r="J207" s="1">
        <f>'[2]Electricity and CHPs'!F$92</f>
        <v>2.6263744189015412</v>
      </c>
      <c r="K207" s="1">
        <f>'[2]Electricity and CHPs'!G$92</f>
        <v>2.7737251117637851</v>
      </c>
      <c r="L207" s="1">
        <f>'[2]Electricity and CHPs'!H$92</f>
        <v>0.59323687954291482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</v>
      </c>
      <c r="L208" s="1">
        <f t="shared" si="200"/>
        <v>0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</v>
      </c>
      <c r="L209" s="1">
        <f>'[2]Electricity and CHPs'!H$96</f>
        <v>0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7.0492013216112905</v>
      </c>
      <c r="G210" s="1">
        <f t="shared" ref="G210:K210" si="201">SUM(G211,G217,G219,G225,G227,G229,G231)</f>
        <v>15.860170384603528</v>
      </c>
      <c r="H210" s="1">
        <f t="shared" si="201"/>
        <v>14.989187562492127</v>
      </c>
      <c r="I210" s="1">
        <f t="shared" si="201"/>
        <v>11.746172500799309</v>
      </c>
      <c r="J210" s="1">
        <f t="shared" si="201"/>
        <v>11.103730973057747</v>
      </c>
      <c r="K210" s="1">
        <f t="shared" si="201"/>
        <v>11.636745231850494</v>
      </c>
      <c r="L210" s="1">
        <f t="shared" ref="L210" si="202">SUM(L211,L217,L219,L225,L227,L229,L231)</f>
        <v>16.718788388743693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2.6346799777219534</v>
      </c>
      <c r="G211" s="1">
        <f t="shared" ref="G211:L211" si="203">+G212</f>
        <v>2.3674893024133521</v>
      </c>
      <c r="H211" s="1">
        <f t="shared" si="203"/>
        <v>1.7176073155507117</v>
      </c>
      <c r="I211" s="1">
        <f t="shared" si="203"/>
        <v>3.9346728002151905</v>
      </c>
      <c r="J211" s="1">
        <f t="shared" si="203"/>
        <v>3.3073131801855062</v>
      </c>
      <c r="K211" s="1">
        <f t="shared" si="203"/>
        <v>3.6755704867185806</v>
      </c>
      <c r="L211" s="1">
        <f t="shared" si="203"/>
        <v>2.4774898371564946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2.6346799777219534</v>
      </c>
      <c r="G212" s="1">
        <f>'[1]Electricity and CHPs'!C$97+G216</f>
        <v>2.3674893024133521</v>
      </c>
      <c r="H212" s="1">
        <f>'[1]Electricity and CHPs'!D$97+H216</f>
        <v>1.7176073155507117</v>
      </c>
      <c r="I212" s="1">
        <f>'[1]Electricity and CHPs'!E$97+I216</f>
        <v>3.9346728002151905</v>
      </c>
      <c r="J212" s="1">
        <f>'[2]Electricity and CHPs'!F$97+J216</f>
        <v>3.3073131801855062</v>
      </c>
      <c r="K212" s="1">
        <f>'[2]Electricity and CHPs'!G$97+K216</f>
        <v>3.6755704867185806</v>
      </c>
      <c r="L212" s="1">
        <f>'[2]Electricity and CHPs'!H$97+L216</f>
        <v>2.4774898371564946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1.7329034351756449</v>
      </c>
      <c r="G213" s="1">
        <f t="shared" ref="G213:L213" si="204">G214</f>
        <v>1.4657145158969569</v>
      </c>
      <c r="H213" s="1">
        <f t="shared" si="204"/>
        <v>0.8158321377751796</v>
      </c>
      <c r="I213" s="1">
        <f t="shared" si="204"/>
        <v>3.032898443710117</v>
      </c>
      <c r="J213" s="1">
        <f t="shared" si="204"/>
        <v>2.405538322419988</v>
      </c>
      <c r="K213" s="1">
        <f t="shared" si="204"/>
        <v>2.7737960317643209</v>
      </c>
      <c r="L213" s="1">
        <f t="shared" si="204"/>
        <v>1.575715265234936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1.7329034351756449</v>
      </c>
      <c r="G214" s="1">
        <f t="shared" ref="G214:K214" si="205">G212-G216</f>
        <v>1.4657145158969569</v>
      </c>
      <c r="H214" s="1">
        <f t="shared" si="205"/>
        <v>0.8158321377751796</v>
      </c>
      <c r="I214" s="1">
        <f t="shared" si="205"/>
        <v>3.032898443710117</v>
      </c>
      <c r="J214" s="1">
        <f t="shared" si="205"/>
        <v>2.405538322419988</v>
      </c>
      <c r="K214" s="1">
        <f t="shared" si="205"/>
        <v>2.7737960317643209</v>
      </c>
      <c r="L214" s="1">
        <f t="shared" ref="L214" si="206">L212-L216</f>
        <v>1.575715265234936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0.90177654254630846</v>
      </c>
      <c r="G215" s="1">
        <f t="shared" ref="G215:L215" si="207">G216</f>
        <v>0.9017747865163952</v>
      </c>
      <c r="H215" s="1">
        <f t="shared" si="207"/>
        <v>0.90177517777553207</v>
      </c>
      <c r="I215" s="1">
        <f t="shared" si="207"/>
        <v>0.90177435650507365</v>
      </c>
      <c r="J215" s="1">
        <f t="shared" si="207"/>
        <v>0.90177485776551836</v>
      </c>
      <c r="K215" s="1">
        <f t="shared" si="207"/>
        <v>0.90177445495425945</v>
      </c>
      <c r="L215" s="1">
        <f t="shared" si="207"/>
        <v>0.90177457192155874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0.90177654254630846</v>
      </c>
      <c r="G216" s="1">
        <f>'[1]Electricity and CHPs'!C$98</f>
        <v>0.9017747865163952</v>
      </c>
      <c r="H216" s="1">
        <f>'[1]Electricity and CHPs'!D$98</f>
        <v>0.90177517777553207</v>
      </c>
      <c r="I216" s="1">
        <f>'[1]Electricity and CHPs'!E$98</f>
        <v>0.90177435650507365</v>
      </c>
      <c r="J216" s="1">
        <f>'[2]Electricity and CHPs'!F$98</f>
        <v>0.90177485776551836</v>
      </c>
      <c r="K216" s="1">
        <f>'[2]Electricity and CHPs'!G$98</f>
        <v>0.90177445495425945</v>
      </c>
      <c r="L216" s="1">
        <f>'[2]Electricity and CHPs'!H$98</f>
        <v>0.90177457192155874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2.9000157579919024</v>
      </c>
      <c r="G217" s="1">
        <f t="shared" ref="G217:L217" si="208">+G218</f>
        <v>7.6038350689429333</v>
      </c>
      <c r="H217" s="1">
        <f t="shared" si="208"/>
        <v>7.6029700964530829</v>
      </c>
      <c r="I217" s="1">
        <f t="shared" si="208"/>
        <v>2.1392835595942317</v>
      </c>
      <c r="J217" s="1">
        <f t="shared" si="208"/>
        <v>1.7127592526008875</v>
      </c>
      <c r="K217" s="1">
        <f t="shared" si="208"/>
        <v>1.7128081048398287</v>
      </c>
      <c r="L217" s="1">
        <f t="shared" si="208"/>
        <v>7.5449444542603423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2.9000157579919024</v>
      </c>
      <c r="G218" s="1">
        <f>'[1]Electricity and CHPs'!C$99</f>
        <v>7.6038350689429333</v>
      </c>
      <c r="H218" s="1">
        <f>'[1]Electricity and CHPs'!D$99</f>
        <v>7.6029700964530829</v>
      </c>
      <c r="I218" s="1">
        <f>'[1]Electricity and CHPs'!E$99</f>
        <v>2.1392835595942317</v>
      </c>
      <c r="J218" s="1">
        <f>'[2]Electricity and CHPs'!F$99</f>
        <v>1.7127592526008875</v>
      </c>
      <c r="K218" s="1">
        <f>'[2]Electricity and CHPs'!G$99</f>
        <v>1.7128081048398287</v>
      </c>
      <c r="L218" s="1">
        <f>'[2]Electricity and CHPs'!H$99</f>
        <v>7.5449444542603423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0.18406930057918613</v>
      </c>
      <c r="G219" s="1">
        <f t="shared" ref="G219:L219" si="209">+G220</f>
        <v>0.18582287704850181</v>
      </c>
      <c r="H219" s="1">
        <f t="shared" si="209"/>
        <v>4.1569472738406187E-4</v>
      </c>
      <c r="I219" s="1">
        <f t="shared" si="209"/>
        <v>2.707221857956106E-4</v>
      </c>
      <c r="J219" s="1">
        <f t="shared" si="209"/>
        <v>5.1972540912594829E-5</v>
      </c>
      <c r="K219" s="1">
        <f t="shared" si="209"/>
        <v>8.4416100605955261E-5</v>
      </c>
      <c r="L219" s="1">
        <f t="shared" si="209"/>
        <v>4.0080094022231125E-5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0.18406930057918613</v>
      </c>
      <c r="G220" s="1">
        <f>'[1]Electricity and CHPs'!C$100</f>
        <v>0.18582287704850181</v>
      </c>
      <c r="H220" s="1">
        <f>'[1]Electricity and CHPs'!D$100</f>
        <v>4.1569472738406187E-4</v>
      </c>
      <c r="I220" s="1">
        <f>'[1]Electricity and CHPs'!E$100</f>
        <v>2.707221857956106E-4</v>
      </c>
      <c r="J220" s="1">
        <f>'[2]Electricity and CHPs'!F$100</f>
        <v>5.1972540912594829E-5</v>
      </c>
      <c r="K220" s="1">
        <f>'[2]Electricity and CHPs'!G$100</f>
        <v>8.4416100605955261E-5</v>
      </c>
      <c r="L220" s="1">
        <f>'[2]Electricity and CHPs'!H$100</f>
        <v>4.0080094022231125E-5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0.18406930057918613</v>
      </c>
      <c r="G221" s="1">
        <f t="shared" ref="G221:L221" si="210">G222</f>
        <v>0.18582287704850181</v>
      </c>
      <c r="H221" s="1">
        <f t="shared" si="210"/>
        <v>4.1569472738406187E-4</v>
      </c>
      <c r="I221" s="1">
        <f t="shared" si="210"/>
        <v>2.707221857956106E-4</v>
      </c>
      <c r="J221" s="1">
        <f t="shared" si="210"/>
        <v>5.1972540912594829E-5</v>
      </c>
      <c r="K221" s="1">
        <f t="shared" si="210"/>
        <v>8.4416100605955261E-5</v>
      </c>
      <c r="L221" s="1">
        <f t="shared" si="210"/>
        <v>4.0080094022231125E-5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0.18406930057918613</v>
      </c>
      <c r="G222" s="1">
        <f t="shared" ref="G222:K222" si="211">G220-G224</f>
        <v>0.18582287704850181</v>
      </c>
      <c r="H222" s="1">
        <f t="shared" si="211"/>
        <v>4.1569472738406187E-4</v>
      </c>
      <c r="I222" s="1">
        <f t="shared" si="211"/>
        <v>2.707221857956106E-4</v>
      </c>
      <c r="J222" s="1">
        <f t="shared" si="211"/>
        <v>5.1972540912594829E-5</v>
      </c>
      <c r="K222" s="1">
        <f t="shared" si="211"/>
        <v>8.4416100605955261E-5</v>
      </c>
      <c r="L222" s="1">
        <f t="shared" ref="L222" si="212">L220-L224</f>
        <v>4.0080094022231125E-5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1.3304362853182492</v>
      </c>
      <c r="G225" s="1">
        <f t="shared" ref="G225:L225" si="214">+G226</f>
        <v>1.2007174356058459</v>
      </c>
      <c r="H225" s="1">
        <f t="shared" si="214"/>
        <v>1.0294642410766712</v>
      </c>
      <c r="I225" s="1">
        <f t="shared" si="214"/>
        <v>0.79658032335149787</v>
      </c>
      <c r="J225" s="1">
        <f t="shared" si="214"/>
        <v>0.52542766437690713</v>
      </c>
      <c r="K225" s="1">
        <f t="shared" si="214"/>
        <v>0.40656643687840527</v>
      </c>
      <c r="L225" s="1">
        <f t="shared" si="214"/>
        <v>0.2434276139704214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1.3304362853182492</v>
      </c>
      <c r="G226" s="1">
        <f>'[1]Electricity and CHPs'!C$101</f>
        <v>1.2007174356058459</v>
      </c>
      <c r="H226" s="1">
        <f>'[1]Electricity and CHPs'!D$101</f>
        <v>1.0294642410766712</v>
      </c>
      <c r="I226" s="1">
        <f>'[1]Electricity and CHPs'!E$101</f>
        <v>0.79658032335149787</v>
      </c>
      <c r="J226" s="1">
        <f>'[2]Electricity and CHPs'!F$101</f>
        <v>0.52542766437690713</v>
      </c>
      <c r="K226" s="1">
        <f>'[2]Electricity and CHPs'!G$101</f>
        <v>0.40656643687840527</v>
      </c>
      <c r="L226" s="1">
        <f>'[2]Electricity and CHPs'!H$101</f>
        <v>0.2434276139704214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1.2934234108348537E-5</v>
      </c>
      <c r="J227" s="1">
        <f t="shared" si="215"/>
        <v>5.923234484476753E-6</v>
      </c>
      <c r="K227" s="1">
        <f t="shared" si="215"/>
        <v>5.924093783799936E-6</v>
      </c>
      <c r="L227" s="1">
        <f t="shared" si="215"/>
        <v>5.9924029522475574E-6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1.2934234108348537E-5</v>
      </c>
      <c r="J228" s="1">
        <f>'[2]Electricity and CHPs'!F$102</f>
        <v>5.923234484476753E-6</v>
      </c>
      <c r="K228" s="1">
        <f>'[2]Electricity and CHPs'!G$102</f>
        <v>5.924093783799936E-6</v>
      </c>
      <c r="L228" s="1">
        <f>'[2]Electricity and CHPs'!H$102</f>
        <v>5.9924029522475574E-6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1.428251859527679E-5</v>
      </c>
      <c r="L229" s="1">
        <f t="shared" si="216"/>
        <v>1.432104701526869E-5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1.428251859527679E-5</v>
      </c>
      <c r="L230" s="1">
        <f>'[2]Electricity and CHPs'!H$90</f>
        <v>1.432104701526869E-5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4.5023057005928955</v>
      </c>
      <c r="H231" s="1">
        <f t="shared" si="217"/>
        <v>4.638730214684279</v>
      </c>
      <c r="I231" s="1">
        <f t="shared" si="217"/>
        <v>4.8753521612184842</v>
      </c>
      <c r="J231" s="1">
        <f t="shared" si="217"/>
        <v>5.558172980119048</v>
      </c>
      <c r="K231" s="1">
        <f t="shared" si="217"/>
        <v>5.8416955807006952</v>
      </c>
      <c r="L231" s="1">
        <f t="shared" si="217"/>
        <v>6.4528660898124457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4.5023057005928955</v>
      </c>
      <c r="H232" s="1">
        <f>'[1]Electricity and CHPs'!D$123</f>
        <v>4.638730214684279</v>
      </c>
      <c r="I232" s="1">
        <f>'[1]Electricity and CHPs'!E$123</f>
        <v>4.8753521612184842</v>
      </c>
      <c r="J232" s="1">
        <f>'[2]Electricity and CHPs'!F$123</f>
        <v>5.558172980119048</v>
      </c>
      <c r="K232" s="1">
        <f>'[2]Electricity and CHPs'!G$123</f>
        <v>5.8416955807006952</v>
      </c>
      <c r="L232" s="1">
        <f>'[2]Electricity and CHPs'!H$123</f>
        <v>6.4528660898124457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6.5009470772349456</v>
      </c>
      <c r="G233" s="1">
        <f t="shared" ref="G233:K233" si="218">SUM(G234,G240,G273,G282,G288)</f>
        <v>8.0486837207277411</v>
      </c>
      <c r="H233" s="1">
        <f t="shared" si="218"/>
        <v>6.409664576602859</v>
      </c>
      <c r="I233" s="1">
        <f t="shared" si="218"/>
        <v>7.5709034064255167</v>
      </c>
      <c r="J233" s="1">
        <f t="shared" si="218"/>
        <v>16.945992495560187</v>
      </c>
      <c r="K233" s="1">
        <f t="shared" si="218"/>
        <v>18.173044509127795</v>
      </c>
      <c r="L233" s="1">
        <f t="shared" ref="L233" si="219">SUM(L234,L240,L273,L282,L288)</f>
        <v>12.5192780979182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0.9293540184727046</v>
      </c>
      <c r="G234" s="1">
        <f t="shared" ref="G234:L234" si="220">+G235</f>
        <v>2.0719699777675049</v>
      </c>
      <c r="H234" s="1">
        <f t="shared" si="220"/>
        <v>0.10186488424774717</v>
      </c>
      <c r="I234" s="1">
        <f t="shared" si="220"/>
        <v>1.3179018489092584</v>
      </c>
      <c r="J234" s="1">
        <f t="shared" si="220"/>
        <v>0.84856439020074048</v>
      </c>
      <c r="K234" s="1">
        <f t="shared" si="220"/>
        <v>3.6401767078845015E-2</v>
      </c>
      <c r="L234" s="1">
        <f t="shared" si="220"/>
        <v>4.3142494597007697E-2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0.9293540184727046</v>
      </c>
      <c r="G235" s="1">
        <f>'[1]Electricity and CHPs'!C$104</f>
        <v>2.0719699777675049</v>
      </c>
      <c r="H235" s="1">
        <f>'[1]Electricity and CHPs'!D$104</f>
        <v>0.10186488424774717</v>
      </c>
      <c r="I235" s="1">
        <f>'[1]Electricity and CHPs'!E$104</f>
        <v>1.3179018489092584</v>
      </c>
      <c r="J235" s="1">
        <f>'[2]Electricity and CHPs'!F$104</f>
        <v>0.84856439020074048</v>
      </c>
      <c r="K235" s="1">
        <f>'[2]Electricity and CHPs'!G$104</f>
        <v>3.6401767078845015E-2</v>
      </c>
      <c r="L235" s="1">
        <f>'[2]Electricity and CHPs'!H$104</f>
        <v>4.3142494597007697E-2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0.9293540184727046</v>
      </c>
      <c r="G236" s="1">
        <f t="shared" ref="G236:L236" si="221">G237</f>
        <v>2.0719699777675049</v>
      </c>
      <c r="H236" s="1">
        <f t="shared" si="221"/>
        <v>0.10186488424774717</v>
      </c>
      <c r="I236" s="1">
        <f t="shared" si="221"/>
        <v>1.3179018489092584</v>
      </c>
      <c r="J236" s="1">
        <f t="shared" si="221"/>
        <v>0.84856439020074048</v>
      </c>
      <c r="K236" s="1">
        <f t="shared" si="221"/>
        <v>3.6401767078845015E-2</v>
      </c>
      <c r="L236" s="1">
        <f t="shared" si="221"/>
        <v>4.3142494597007697E-2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0.9293540184727046</v>
      </c>
      <c r="G237" s="1">
        <f t="shared" ref="G237:K237" si="222">G235-G239</f>
        <v>2.0719699777675049</v>
      </c>
      <c r="H237" s="1">
        <f t="shared" si="222"/>
        <v>0.10186488424774717</v>
      </c>
      <c r="I237" s="1">
        <f t="shared" si="222"/>
        <v>1.3179018489092584</v>
      </c>
      <c r="J237" s="1">
        <f t="shared" si="222"/>
        <v>0.84856439020074048</v>
      </c>
      <c r="K237" s="1">
        <f t="shared" si="222"/>
        <v>3.6401767078845015E-2</v>
      </c>
      <c r="L237" s="1">
        <f t="shared" ref="L237" si="223">L235-L239</f>
        <v>4.3142494597007697E-2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2.9771917520713913</v>
      </c>
      <c r="G240" s="1">
        <f t="shared" ref="G240:K240" si="227">SUM(G241:G250)</f>
        <v>2.5213118516814998</v>
      </c>
      <c r="H240" s="1">
        <f t="shared" si="227"/>
        <v>2.5749433001724351</v>
      </c>
      <c r="I240" s="1">
        <f t="shared" si="227"/>
        <v>2.8580806205098925</v>
      </c>
      <c r="J240" s="1">
        <f t="shared" si="227"/>
        <v>10.635469879926383</v>
      </c>
      <c r="K240" s="1">
        <f t="shared" si="227"/>
        <v>10.772075049267285</v>
      </c>
      <c r="L240" s="1">
        <f t="shared" ref="L240" si="228">SUM(L241:L250)</f>
        <v>2.9039516474239715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0.76850399701165117</v>
      </c>
      <c r="G241" s="1">
        <f>'[1]Electricity and CHPs_IN'!C$39*0.75-G88-G242</f>
        <v>0.18748163947496038</v>
      </c>
      <c r="H241" s="1">
        <f>'[1]Electricity and CHPs_IN'!D$39*0.75-H88-H242</f>
        <v>1.0630817163902475</v>
      </c>
      <c r="I241" s="1">
        <f>'[1]Electricity and CHPs_IN'!E$39*0.75-I88-I242</f>
        <v>1.534004885741481</v>
      </c>
      <c r="J241" s="1">
        <f>'[2]Electricity and CHPs'!F$103-J242</f>
        <v>0.89615579738237194</v>
      </c>
      <c r="K241" s="1">
        <f>'[2]Electricity and CHPs'!G$103-K242</f>
        <v>0.10917953991676103</v>
      </c>
      <c r="L241" s="1">
        <f>'[2]Electricity and CHPs'!H$103-L242</f>
        <v>2.7457498011725794E-2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1.5599110263434578E-4</v>
      </c>
      <c r="J243" s="1">
        <f>'[2]Electricity and CHPs'!F$107</f>
        <v>1.0338275741010303E-4</v>
      </c>
      <c r="K243" s="1">
        <f>'[2]Electricity and CHPs'!G$107</f>
        <v>8.3564710123637547E-5</v>
      </c>
      <c r="L243" s="1">
        <f>'[2]Electricity and CHPs'!H$107</f>
        <v>1.4636438436913153E-4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3.1644494752712055E-2</v>
      </c>
      <c r="G244" s="1">
        <f>'[1]Electricity and CHPs'!C$109</f>
        <v>2.0408933499162234E-3</v>
      </c>
      <c r="H244" s="1">
        <f>'[1]Electricity and CHPs'!D$109</f>
        <v>4.6862373718019792E-3</v>
      </c>
      <c r="I244" s="1">
        <f>'[1]Electricity and CHPs'!E$109</f>
        <v>0</v>
      </c>
      <c r="J244" s="1">
        <f>'[2]Electricity and CHPs'!F$109</f>
        <v>1.1316229464779882E-2</v>
      </c>
      <c r="K244" s="1">
        <f>'[2]Electricity and CHPs'!G$109</f>
        <v>4.3376113688245168E-3</v>
      </c>
      <c r="L244" s="1">
        <f>'[2]Electricity and CHPs'!H$109</f>
        <v>9.2440738463841067E-4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6.0151544793016945E-2</v>
      </c>
      <c r="G246" s="1">
        <f>'[1]Electricity and CHPs'!C$112</f>
        <v>3.2614509627586904E-3</v>
      </c>
      <c r="H246" s="1">
        <f>'[1]Electricity and CHPs'!D$112</f>
        <v>5.4271427302747723E-3</v>
      </c>
      <c r="I246" s="1">
        <f>'[1]Electricity and CHPs'!E$112</f>
        <v>0</v>
      </c>
      <c r="J246" s="1">
        <f>'[2]Electricity and CHPs'!F$112</f>
        <v>2.4698893664009618</v>
      </c>
      <c r="K246" s="1">
        <f>'[2]Electricity and CHPs'!G$112</f>
        <v>3.5859481085343941</v>
      </c>
      <c r="L246" s="1">
        <f>'[2]Electricity and CHPs'!H$112</f>
        <v>1.869032687318162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1.4243128743059836</v>
      </c>
      <c r="G248" s="1">
        <f>'[1]Electricity and CHPs'!C$115</f>
        <v>1.578325399859821</v>
      </c>
      <c r="H248" s="1">
        <f>'[1]Electricity and CHPs'!D$115</f>
        <v>1.4829228347016219</v>
      </c>
      <c r="I248" s="1">
        <f>'[1]Electricity and CHPs'!E$115</f>
        <v>1.323919743665777</v>
      </c>
      <c r="J248" s="1">
        <f>'[2]Electricity and CHPs'!F$115</f>
        <v>1.1649095626113581</v>
      </c>
      <c r="K248" s="1">
        <f>'[2]Electricity and CHPs'!G$115</f>
        <v>1.0059070253097822</v>
      </c>
      <c r="L248" s="1">
        <f>'[2]Electricity and CHPs'!H$115</f>
        <v>1.0059069792722668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0.69257884120802715</v>
      </c>
      <c r="G249" s="1">
        <f>'[1]Electricity and CHPs'!C$116</f>
        <v>0.75020246803404356</v>
      </c>
      <c r="H249" s="1">
        <f>'[1]Electricity and CHPs'!D$116</f>
        <v>1.8825368978488858E-2</v>
      </c>
      <c r="I249" s="1">
        <f>'[1]Electricity and CHPs'!E$116</f>
        <v>0</v>
      </c>
      <c r="J249" s="1">
        <f>'[2]Electricity and CHPs'!F$116</f>
        <v>6.0929871788388006</v>
      </c>
      <c r="K249" s="1">
        <f>'[2]Electricity and CHPs'!G$116</f>
        <v>6.066379501872567</v>
      </c>
      <c r="L249" s="1">
        <f>'[2]Electricity and CHPs'!H$116</f>
        <v>3.5085665933347126E-4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1.0836247070111577E-4</v>
      </c>
      <c r="K250" s="1">
        <f>'[2]Electricity and CHPs'!G$118</f>
        <v>2.3969755483192718E-4</v>
      </c>
      <c r="L250" s="1">
        <f>'[2]Electricity and CHPs'!H$118</f>
        <v>1.3285439347604191E-4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1.513312122343315</v>
      </c>
      <c r="G251" s="1">
        <f t="shared" ref="G251:K251" si="229">SUM(G252:G261)</f>
        <v>0.91527755947101996</v>
      </c>
      <c r="H251" s="1">
        <f t="shared" si="229"/>
        <v>1.0011589034474979</v>
      </c>
      <c r="I251" s="1">
        <f t="shared" si="229"/>
        <v>1.3288040042654516</v>
      </c>
      <c r="J251" s="1">
        <f t="shared" si="229"/>
        <v>9.3614452035711757</v>
      </c>
      <c r="K251" s="1">
        <f t="shared" si="229"/>
        <v>9.7180736979200315</v>
      </c>
      <c r="L251" s="1">
        <f t="shared" ref="L251" si="230">SUM(L252:L261)</f>
        <v>1.8882608213326793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0.7489228113016515</v>
      </c>
      <c r="G252" s="1">
        <f t="shared" si="231"/>
        <v>0.18197264350168729</v>
      </c>
      <c r="H252" s="1">
        <f t="shared" si="231"/>
        <v>0.97462800296281682</v>
      </c>
      <c r="I252" s="1">
        <f t="shared" si="231"/>
        <v>1.3286688935316695</v>
      </c>
      <c r="J252" s="1">
        <f t="shared" si="231"/>
        <v>0.88583073334315032</v>
      </c>
      <c r="K252" s="1">
        <f t="shared" si="231"/>
        <v>0.10864187597564343</v>
      </c>
      <c r="L252" s="1">
        <f t="shared" ref="L252" si="232">L241-L263</f>
        <v>2.7315962905050971E-2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0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1.3511073378216735E-4</v>
      </c>
      <c r="J254" s="1">
        <f t="shared" si="231"/>
        <v>1.0219163239151971E-4</v>
      </c>
      <c r="K254" s="1">
        <f t="shared" si="231"/>
        <v>8.3153188592976395E-5</v>
      </c>
      <c r="L254" s="1">
        <f t="shared" ref="L254" si="234">L243-L265</f>
        <v>1.4560992018793653E-4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3.0838205220241905E-2</v>
      </c>
      <c r="G255" s="1">
        <f t="shared" ref="G255:K255" si="235">G244-G266</f>
        <v>1.9809233535045484E-3</v>
      </c>
      <c r="H255" s="1">
        <f t="shared" si="235"/>
        <v>4.2963189947408092E-3</v>
      </c>
      <c r="I255" s="1">
        <f t="shared" si="235"/>
        <v>0</v>
      </c>
      <c r="J255" s="1">
        <f t="shared" si="235"/>
        <v>1.1185849463615279E-2</v>
      </c>
      <c r="K255" s="1">
        <f t="shared" si="235"/>
        <v>4.3162504322847876E-3</v>
      </c>
      <c r="L255" s="1">
        <f t="shared" ref="L255" si="236">L244-L266</f>
        <v>9.1964234385647501E-4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5.8618906610371849E-2</v>
      </c>
      <c r="G257" s="1">
        <f t="shared" si="239"/>
        <v>3.1656158704734803E-3</v>
      </c>
      <c r="H257" s="1">
        <f t="shared" si="239"/>
        <v>4.9755773234088467E-3</v>
      </c>
      <c r="I257" s="1">
        <f t="shared" si="239"/>
        <v>0</v>
      </c>
      <c r="J257" s="1">
        <f t="shared" si="239"/>
        <v>2.4414325222312629</v>
      </c>
      <c r="K257" s="1">
        <f t="shared" si="239"/>
        <v>3.5682888017251901</v>
      </c>
      <c r="L257" s="1">
        <f t="shared" ref="L257" si="240">L246-L268</f>
        <v>1.8593983884951106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0.67493219921104974</v>
      </c>
      <c r="G260" s="1">
        <f t="shared" si="245"/>
        <v>0.72815837674535466</v>
      </c>
      <c r="H260" s="1">
        <f t="shared" si="245"/>
        <v>1.7259004166531519E-2</v>
      </c>
      <c r="I260" s="1">
        <f t="shared" si="245"/>
        <v>0</v>
      </c>
      <c r="J260" s="1">
        <f t="shared" si="245"/>
        <v>6.0227867929288674</v>
      </c>
      <c r="K260" s="1">
        <f t="shared" si="245"/>
        <v>6.0365050994545078</v>
      </c>
      <c r="L260" s="1">
        <f t="shared" ref="L260" si="246">L249-L271</f>
        <v>3.4904809925690757E-4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1.0711397188795694E-4</v>
      </c>
      <c r="K261" s="1">
        <f t="shared" si="247"/>
        <v>2.3851714381255997E-4</v>
      </c>
      <c r="L261" s="1">
        <f t="shared" ref="L261" si="248">L250-L272</f>
        <v>1.3216956921620511E-4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1.4638796297280761</v>
      </c>
      <c r="G262" s="1">
        <f t="shared" ref="G262:K262" si="249">SUM(G263:G272)</f>
        <v>1.60603429221048</v>
      </c>
      <c r="H262" s="1">
        <f t="shared" si="249"/>
        <v>1.573784396724937</v>
      </c>
      <c r="I262" s="1">
        <f t="shared" si="249"/>
        <v>1.5292766162444407</v>
      </c>
      <c r="J262" s="1">
        <f t="shared" si="249"/>
        <v>1.2740246763552086</v>
      </c>
      <c r="K262" s="1">
        <f t="shared" si="249"/>
        <v>1.0540013513472526</v>
      </c>
      <c r="L262" s="1">
        <f t="shared" ref="L262" si="250">SUM(L263:L272)</f>
        <v>1.0156908260912925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1.9581185709999699E-2</v>
      </c>
      <c r="G263" s="1">
        <f t="shared" si="251"/>
        <v>5.5089959732730993E-3</v>
      </c>
      <c r="H263" s="1">
        <f t="shared" si="251"/>
        <v>8.8453713427430677E-2</v>
      </c>
      <c r="I263" s="1">
        <f t="shared" si="251"/>
        <v>0.20533599220981158</v>
      </c>
      <c r="J263" s="1">
        <f t="shared" si="251"/>
        <v>1.0325064039221593E-2</v>
      </c>
      <c r="K263" s="1">
        <f t="shared" si="251"/>
        <v>5.376639411176059E-4</v>
      </c>
      <c r="L263" s="1">
        <f t="shared" ref="L263" si="252">L241*IFERROR(L120/L88,0)</f>
        <v>1.4153510667482219E-4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0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2.0880368852178425E-5</v>
      </c>
      <c r="J265" s="1">
        <f t="shared" si="251"/>
        <v>1.1911250185833163E-6</v>
      </c>
      <c r="K265" s="1">
        <f t="shared" si="251"/>
        <v>4.1152153066114666E-7</v>
      </c>
      <c r="L265" s="1">
        <f t="shared" ref="L265" si="254">L243*IFERROR(L122/L90,0)</f>
        <v>7.5446418119498785E-7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8.0628953247014975E-4</v>
      </c>
      <c r="G266" s="1">
        <f t="shared" si="251"/>
        <v>5.9969996411675006E-5</v>
      </c>
      <c r="H266" s="1">
        <f t="shared" si="251"/>
        <v>3.8991837706116983E-4</v>
      </c>
      <c r="I266" s="1">
        <f t="shared" si="251"/>
        <v>0</v>
      </c>
      <c r="J266" s="1">
        <f t="shared" si="251"/>
        <v>1.3038000116460209E-4</v>
      </c>
      <c r="K266" s="1">
        <f t="shared" si="251"/>
        <v>2.1360936539728824E-5</v>
      </c>
      <c r="L266" s="1">
        <f t="shared" ref="L266" si="255">L244*IFERROR(L123/L91,0)</f>
        <v>4.7650407819356645E-6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1.5326381826450968E-3</v>
      </c>
      <c r="G268" s="1">
        <f t="shared" si="251"/>
        <v>9.5835092285209998E-5</v>
      </c>
      <c r="H268" s="1">
        <f t="shared" si="251"/>
        <v>4.5156540686592535E-4</v>
      </c>
      <c r="I268" s="1">
        <f t="shared" si="251"/>
        <v>0</v>
      </c>
      <c r="J268" s="1">
        <f t="shared" si="251"/>
        <v>2.8456844169698851E-2</v>
      </c>
      <c r="K268" s="1">
        <f t="shared" si="251"/>
        <v>1.7659306809204075E-2</v>
      </c>
      <c r="L268" s="1">
        <f t="shared" ref="L268" si="257">L246*IFERROR(L125/L93,0)</f>
        <v>9.6342988230513869E-3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1.4243128743059836</v>
      </c>
      <c r="G270" s="1">
        <f t="shared" si="251"/>
        <v>1.578325399859821</v>
      </c>
      <c r="H270" s="1">
        <f t="shared" si="251"/>
        <v>1.4829228347016219</v>
      </c>
      <c r="I270" s="1">
        <f t="shared" si="251"/>
        <v>1.323919743665777</v>
      </c>
      <c r="J270" s="1">
        <f t="shared" si="251"/>
        <v>1.1649095626113581</v>
      </c>
      <c r="K270" s="1">
        <f t="shared" si="251"/>
        <v>1.0059070253097822</v>
      </c>
      <c r="L270" s="1">
        <f t="shared" ref="L270" si="259">L248*IFERROR(L127/L95,0)</f>
        <v>1.0059069792722668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1.7646641996977363E-2</v>
      </c>
      <c r="G271" s="1">
        <f t="shared" si="251"/>
        <v>2.2044091288688901E-2</v>
      </c>
      <c r="H271" s="1">
        <f t="shared" si="251"/>
        <v>1.5663648119573403E-3</v>
      </c>
      <c r="I271" s="1">
        <f t="shared" si="251"/>
        <v>0</v>
      </c>
      <c r="J271" s="1">
        <f t="shared" si="251"/>
        <v>7.0200385909933549E-2</v>
      </c>
      <c r="K271" s="1">
        <f t="shared" si="251"/>
        <v>2.9874402418059075E-2</v>
      </c>
      <c r="L271" s="1">
        <f t="shared" ref="L271" si="260">L249*IFERROR(L128/L96,0)</f>
        <v>1.8085600765637057E-6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1.2484988131588274E-6</v>
      </c>
      <c r="K272" s="1">
        <f t="shared" si="251"/>
        <v>1.1804110193672148E-6</v>
      </c>
      <c r="L272" s="1">
        <f t="shared" ref="L272" si="261">L250*IFERROR(L129/L97,0)</f>
        <v>6.8482425983679518E-7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1.9348222656546448</v>
      </c>
      <c r="G273" s="1">
        <f t="shared" ref="G273:K273" si="262">SUM(G274:G275)</f>
        <v>1.8587705616024293</v>
      </c>
      <c r="H273" s="1">
        <f t="shared" si="262"/>
        <v>2.2411526409390576E-3</v>
      </c>
      <c r="I273" s="1">
        <f t="shared" si="262"/>
        <v>1.7782842889798008E-3</v>
      </c>
      <c r="J273" s="1">
        <f t="shared" si="262"/>
        <v>1.5608386056116862E-3</v>
      </c>
      <c r="K273" s="1">
        <f t="shared" si="262"/>
        <v>5.2913224227643836E-4</v>
      </c>
      <c r="L273" s="1">
        <f t="shared" ref="L273" si="263">SUM(L274:L275)</f>
        <v>3.3453736298219697E-4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1.9348222656546448</v>
      </c>
      <c r="G274" s="1">
        <f>'[1]Electricity and CHPs'!C$106-G275</f>
        <v>1.8587705616024293</v>
      </c>
      <c r="H274" s="1">
        <f>'[1]Electricity and CHPs'!D$106-H275</f>
        <v>2.2411526409390576E-3</v>
      </c>
      <c r="I274" s="1">
        <f>'[1]Electricity and CHPs'!E$106-I275</f>
        <v>1.7782842889798008E-3</v>
      </c>
      <c r="J274" s="1">
        <f>'[2]Electricity and CHPs'!F$106-J275</f>
        <v>1.5608386056116862E-3</v>
      </c>
      <c r="K274" s="1">
        <f>'[2]Electricity and CHPs'!G$106-K275</f>
        <v>5.2913224227643836E-4</v>
      </c>
      <c r="L274" s="1">
        <f>'[2]Electricity and CHPs'!H$106-L275</f>
        <v>3.3453736298219697E-4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1.9348222656546448</v>
      </c>
      <c r="G279" s="1">
        <f t="shared" ref="G279:K279" si="266">SUM(G280:G281)</f>
        <v>1.8587705616024293</v>
      </c>
      <c r="H279" s="1">
        <f t="shared" si="266"/>
        <v>2.2411526409390576E-3</v>
      </c>
      <c r="I279" s="1">
        <f t="shared" si="266"/>
        <v>1.7782842889798008E-3</v>
      </c>
      <c r="J279" s="1">
        <f t="shared" si="266"/>
        <v>1.5608386056116862E-3</v>
      </c>
      <c r="K279" s="1">
        <f t="shared" si="266"/>
        <v>5.2913224227643836E-4</v>
      </c>
      <c r="L279" s="1">
        <f t="shared" ref="L279" si="267">SUM(L280:L281)</f>
        <v>3.3453736298219697E-4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1.9348222656546448</v>
      </c>
      <c r="G280" s="1">
        <f t="shared" ref="G280:K280" si="268">G274</f>
        <v>1.8587705616024293</v>
      </c>
      <c r="H280" s="1">
        <f t="shared" si="268"/>
        <v>2.2411526409390576E-3</v>
      </c>
      <c r="I280" s="1">
        <f t="shared" si="268"/>
        <v>1.7782842889798008E-3</v>
      </c>
      <c r="J280" s="1">
        <f t="shared" si="268"/>
        <v>1.5608386056116862E-3</v>
      </c>
      <c r="K280" s="1">
        <f t="shared" si="268"/>
        <v>5.2913224227643836E-4</v>
      </c>
      <c r="L280" s="1">
        <f t="shared" ref="L280" si="269">L274</f>
        <v>3.3453736298219697E-4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0.65957904103620457</v>
      </c>
      <c r="G282" s="1">
        <f t="shared" ref="G282:K282" si="272">SUM(G283:G287)</f>
        <v>1.5966313296763068</v>
      </c>
      <c r="H282" s="1">
        <f t="shared" si="272"/>
        <v>3.7306152395417373</v>
      </c>
      <c r="I282" s="1">
        <f t="shared" si="272"/>
        <v>3.393142652717386</v>
      </c>
      <c r="J282" s="1">
        <f t="shared" si="272"/>
        <v>5.4603973868274531</v>
      </c>
      <c r="K282" s="1">
        <f t="shared" si="272"/>
        <v>7.3640385605393908</v>
      </c>
      <c r="L282" s="1">
        <f t="shared" ref="L282" si="273">SUM(L283:L287)</f>
        <v>9.5718494185342387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0.65957904103620457</v>
      </c>
      <c r="G283" s="1">
        <f>'[1]Electricity and CHPs'!C$105-G284</f>
        <v>1.5966313296763068</v>
      </c>
      <c r="H283" s="1">
        <f>'[1]Electricity and CHPs'!D$105-H284</f>
        <v>3.7306152395417373</v>
      </c>
      <c r="I283" s="1">
        <f>'[1]Electricity and CHPs'!E$105-I284</f>
        <v>3.393142652717386</v>
      </c>
      <c r="J283" s="1">
        <f>'[2]Electricity and CHPs'!F$105-J284</f>
        <v>5.4583652370495894</v>
      </c>
      <c r="K283" s="1">
        <f>'[2]Electricity and CHPs'!G$105-K284</f>
        <v>7.3629166521615481</v>
      </c>
      <c r="L283" s="1">
        <f>'[2]Electricity and CHPs'!H$105-L284</f>
        <v>9.570023532868646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0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5.5149430938819879E-4</v>
      </c>
      <c r="K285" s="1">
        <f>'[2]Electricity and CHPs'!G$110</f>
        <v>3.7648203481897543E-4</v>
      </c>
      <c r="L285" s="1">
        <f>'[2]Electricity and CHPs'!H$110</f>
        <v>4.3390351810800813E-4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1.1198793120313299E-3</v>
      </c>
      <c r="K286" s="1">
        <f>'[2]Electricity and CHPs'!G$113</f>
        <v>5.5988399358206206E-4</v>
      </c>
      <c r="L286" s="1">
        <f>'[2]Electricity and CHPs'!H$113</f>
        <v>1.2626858709512065E-3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3.607761564448145E-4</v>
      </c>
      <c r="K287" s="1">
        <f>'[2]Electricity and CHPs'!G$117</f>
        <v>1.8554234944144751E-4</v>
      </c>
      <c r="L287" s="1">
        <f>'[2]Electricity and CHPs'!H$117</f>
        <v>1.2929627653304485E-4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0</v>
      </c>
      <c r="J288" s="1">
        <f t="shared" si="274"/>
        <v>0</v>
      </c>
      <c r="K288" s="1">
        <f t="shared" si="274"/>
        <v>0</v>
      </c>
      <c r="L288" s="1">
        <f t="shared" ref="L288" si="275">SUM(L289:L290)</f>
        <v>0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0</v>
      </c>
      <c r="K289" s="1">
        <f>'[2]Electricity and CHPs'!G$108</f>
        <v>0</v>
      </c>
      <c r="L289" s="1">
        <f>'[2]Electricity and CHPs'!H$108</f>
        <v>0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0</v>
      </c>
      <c r="K290" s="1">
        <f>'[2]Electricity and CHPs'!G$119</f>
        <v>0</v>
      </c>
      <c r="L290" s="1">
        <f>'[2]Electricity and CHPs'!H$119</f>
        <v>0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437.60187425577328</v>
      </c>
      <c r="G291" s="3">
        <f t="shared" ref="G291" si="276">SUM(G292,G294,G302,G310,G358,G379,G387,G389,G397,G401,G395)</f>
        <v>419.72266358480658</v>
      </c>
      <c r="H291" s="3">
        <f t="shared" ref="H291" si="277">SUM(H292,H294,H302,H310,H358,H379,H387,H389,H397,H401,H395)</f>
        <v>431.27588495297863</v>
      </c>
      <c r="I291" s="3">
        <f>IFERROR(SUM(I292,I294,I302,I310,I358,I379,I387,I389,I397,I401,I395),0)</f>
        <v>434.57100523710358</v>
      </c>
      <c r="J291" s="3">
        <f t="shared" ref="J291" si="278">SUM(J292,J294,J302,J310,J358,J379,J387,J389,J397,J401,J395)</f>
        <v>411.18499784209081</v>
      </c>
      <c r="K291" s="3">
        <f t="shared" ref="K291:L291" si="279">SUM(K292,K294,K302,K310,K358,K379,K387,K389,K397,K401,K395)</f>
        <v>413.70827295926642</v>
      </c>
      <c r="L291" s="3">
        <f t="shared" si="279"/>
        <v>510.70642955517485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250.94817811360252</v>
      </c>
      <c r="G292" s="1">
        <f t="shared" ref="G292:L292" si="280">G293</f>
        <v>253.30007324334684</v>
      </c>
      <c r="H292" s="1">
        <f t="shared" si="280"/>
        <v>233.22742609086157</v>
      </c>
      <c r="I292" s="1">
        <f t="shared" si="280"/>
        <v>211.9022672167373</v>
      </c>
      <c r="J292" s="1">
        <f t="shared" si="280"/>
        <v>190.50729033456849</v>
      </c>
      <c r="K292" s="1">
        <f t="shared" si="280"/>
        <v>190.50731732366509</v>
      </c>
      <c r="L292" s="1">
        <f t="shared" si="280"/>
        <v>278.03323812994256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250.94817811360252</v>
      </c>
      <c r="G293" s="1">
        <f>'[1]Electricity and CHPs_IN'!C$14</f>
        <v>253.30007324334684</v>
      </c>
      <c r="H293" s="1">
        <f>'[1]Electricity and CHPs_IN'!D$14</f>
        <v>233.22742609086157</v>
      </c>
      <c r="I293" s="1">
        <f>'[1]Electricity and CHPs_IN'!E$14</f>
        <v>211.9022672167373</v>
      </c>
      <c r="J293" s="1">
        <f>'[2]Electricity and CHPs_IN'!F$14</f>
        <v>190.50729033456849</v>
      </c>
      <c r="K293" s="1">
        <f>'[2]Electricity and CHPs_IN'!G$14</f>
        <v>190.50731732366509</v>
      </c>
      <c r="L293" s="1">
        <f>'[2]Electricity and CHPs_IN'!H$14</f>
        <v>278.03323812994256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149.43048165857232</v>
      </c>
      <c r="G294" s="1">
        <f t="shared" ref="G294:K294" si="282">SUM(G295:G297)</f>
        <v>125.60470577767911</v>
      </c>
      <c r="H294" s="1">
        <f t="shared" si="282"/>
        <v>137.62371386910246</v>
      </c>
      <c r="I294" s="1">
        <f t="shared" si="282"/>
        <v>150.6245500727326</v>
      </c>
      <c r="J294" s="1">
        <f t="shared" si="282"/>
        <v>150.09591209457983</v>
      </c>
      <c r="K294" s="1">
        <f t="shared" si="282"/>
        <v>150.11978576692744</v>
      </c>
      <c r="L294" s="1">
        <f t="shared" ref="L294" si="283">SUM(L295:L297)</f>
        <v>150.16835769626354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66.745679999995161</v>
      </c>
      <c r="G295" s="1">
        <f>'[1]Electricity and CHPs_IN'!C$15</f>
        <v>49.798799902568817</v>
      </c>
      <c r="H295" s="1">
        <f>'[1]Electricity and CHPs_IN'!D$15</f>
        <v>69.098091987387846</v>
      </c>
      <c r="I295" s="1">
        <f>'[1]Electricity and CHPs_IN'!E$15</f>
        <v>70.384657838973283</v>
      </c>
      <c r="J295" s="1">
        <f>'[2]Electricity and CHPs_IN'!F$15</f>
        <v>71.044264689717764</v>
      </c>
      <c r="K295" s="1">
        <f>'[2]Electricity and CHPs_IN'!G$15</f>
        <v>72.128987484440245</v>
      </c>
      <c r="L295" s="1">
        <f>'[2]Electricity and CHPs_IN'!H$15</f>
        <v>74.298727753074118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66.632400218261907</v>
      </c>
      <c r="G296" s="1">
        <f>'[1]Electricity and CHPs_IN'!C$16</f>
        <v>55.76400049992705</v>
      </c>
      <c r="H296" s="1">
        <f>'[1]Electricity and CHPs_IN'!D$16</f>
        <v>65.549520725005422</v>
      </c>
      <c r="I296" s="1">
        <f>'[1]Electricity and CHPs_IN'!E$16</f>
        <v>64.46572592756182</v>
      </c>
      <c r="J296" s="1">
        <f>'[2]Electricity and CHPs_IN'!F$16</f>
        <v>63.378495368763765</v>
      </c>
      <c r="K296" s="1">
        <f>'[2]Electricity and CHPs_IN'!G$16</f>
        <v>62.293772492353952</v>
      </c>
      <c r="L296" s="1">
        <f>'[2]Electricity and CHPs_IN'!H$16</f>
        <v>60.124031879381107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16.052401440315233</v>
      </c>
      <c r="G297" s="1">
        <f>'[1]Electricity and CHPs_IN'!C$13</f>
        <v>20.041905375183251</v>
      </c>
      <c r="H297" s="1">
        <f>'[1]Electricity and CHPs_IN'!D$13</f>
        <v>2.9761011567091971</v>
      </c>
      <c r="I297" s="1">
        <f>'[1]Electricity and CHPs_IN'!E$13</f>
        <v>15.77416630619749</v>
      </c>
      <c r="J297" s="1">
        <f>'[2]Electricity and CHPs_IN'!F$13</f>
        <v>15.673152036098301</v>
      </c>
      <c r="K297" s="1">
        <f>'[2]Electricity and CHPs_IN'!G$13</f>
        <v>15.697025790133242</v>
      </c>
      <c r="L297" s="1">
        <f>'[2]Electricity and CHPs_IN'!H$13</f>
        <v>15.745598063808321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0.13862952765171557</v>
      </c>
      <c r="G298" s="1">
        <f t="shared" ref="G298:K298" si="284">SUM(G299:G301)</f>
        <v>5.4075872949305423E-2</v>
      </c>
      <c r="H298" s="1">
        <f t="shared" si="284"/>
        <v>1.6352208374527694E-2</v>
      </c>
      <c r="I298" s="1">
        <f t="shared" si="284"/>
        <v>7.5715697218892999E-2</v>
      </c>
      <c r="J298" s="1">
        <f t="shared" si="284"/>
        <v>0.11012563172300222</v>
      </c>
      <c r="K298" s="1">
        <f t="shared" si="284"/>
        <v>2.0074768447314959E-2</v>
      </c>
      <c r="L298" s="1">
        <f t="shared" ref="L298" si="285">SUM(L299:L301)</f>
        <v>2.5136212429026587E-2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0.1150495568555423</v>
      </c>
      <c r="G299" s="1">
        <f>'[1]Electricity and CHPs_IN'!C$18</f>
        <v>7.8458380946845867E-4</v>
      </c>
      <c r="H299" s="1">
        <f>'[1]Electricity and CHPs_IN'!D$18</f>
        <v>1.2136483573367761E-2</v>
      </c>
      <c r="I299" s="1">
        <f>'[1]Electricity and CHPs_IN'!E$18</f>
        <v>8.0039582076863705E-4</v>
      </c>
      <c r="J299" s="1">
        <f>'[2]Electricity and CHPs_IN'!F$18</f>
        <v>8.6492530958187631E-4</v>
      </c>
      <c r="K299" s="1">
        <f>'[2]Electricity and CHPs_IN'!G$18</f>
        <v>5.2164795103538876E-4</v>
      </c>
      <c r="L299" s="1">
        <f>'[2]Electricity and CHPs_IN'!H$18</f>
        <v>1.564441169640462E-3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2.9719737222696904E-3</v>
      </c>
      <c r="G300" s="1">
        <f>IFERROR(G72/SUM(G72,G185),0)*'[1]Electricity and CHPs_IN'!C$28</f>
        <v>1.7543478863483046E-4</v>
      </c>
      <c r="H300" s="1">
        <f>IFERROR(H72/SUM(H72,H185),0)*'[1]Electricity and CHPs_IN'!D$28</f>
        <v>7.9118673155167865E-4</v>
      </c>
      <c r="I300" s="1">
        <f>IFERROR(I72/SUM(I72,I185),0)*'[1]Electricity and CHPs_IN'!E$28</f>
        <v>2.0212467087980796E-4</v>
      </c>
      <c r="J300" s="1">
        <f>IFERROR(J72/SUM(J72,J185),0)*'[2]Electricity and CHPs_IN'!F$28</f>
        <v>1.9560947066703097E-4</v>
      </c>
      <c r="K300" s="1">
        <f>IFERROR(K72/SUM(K72,K185),0)*'[2]Electricity and CHPs_IN'!G$28</f>
        <v>1.2372295757665734E-4</v>
      </c>
      <c r="L300" s="1">
        <f>IFERROR(L72/SUM(L72,L185),0)*'[2]Electricity and CHPs_IN'!H$28</f>
        <v>1.9580005196566489E-4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2.060799707390357E-2</v>
      </c>
      <c r="G301" s="1">
        <f>IFERROR(G73/SUM(G73,G235),0)*'[1]Electricity and CHPs_IN'!C$41</f>
        <v>5.3115854351202134E-2</v>
      </c>
      <c r="H301" s="1">
        <f>IFERROR(H73/SUM(H73,H235),0)*'[1]Electricity and CHPs_IN'!D$41</f>
        <v>3.4245380696082549E-3</v>
      </c>
      <c r="I301" s="1">
        <f>IFERROR(I73/SUM(I73,I235),0)*'[1]Electricity and CHPs_IN'!E$41</f>
        <v>7.4713176727244549E-2</v>
      </c>
      <c r="J301" s="1">
        <f>IFERROR(J73/SUM(J73,J235),0)*'[2]Electricity and CHPs_IN'!F$41</f>
        <v>0.10906509694275331</v>
      </c>
      <c r="K301" s="1">
        <f>IFERROR(K73/SUM(K73,K235),0)*'[2]Electricity and CHPs_IN'!G$41</f>
        <v>1.9429397538702913E-2</v>
      </c>
      <c r="L301" s="1">
        <f>IFERROR(L73/SUM(L73,L235),0)*'[2]Electricity and CHPs_IN'!H$41</f>
        <v>2.3375971207420458E-2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0.13862952765171557</v>
      </c>
      <c r="G302" s="1">
        <f t="shared" ref="G302:K302" si="286">G298</f>
        <v>5.4075872949305423E-2</v>
      </c>
      <c r="H302" s="1">
        <f t="shared" si="286"/>
        <v>1.6352208374527694E-2</v>
      </c>
      <c r="I302" s="1">
        <f t="shared" si="286"/>
        <v>7.5715697218892999E-2</v>
      </c>
      <c r="J302" s="1">
        <f t="shared" si="286"/>
        <v>0.11012563172300222</v>
      </c>
      <c r="K302" s="1">
        <f t="shared" si="286"/>
        <v>2.0074768447314959E-2</v>
      </c>
      <c r="L302" s="1">
        <f t="shared" ref="L302" si="287">L298</f>
        <v>2.5136212429026587E-2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0.1150495568555423</v>
      </c>
      <c r="G303" s="1">
        <f t="shared" si="288"/>
        <v>7.8458380946845867E-4</v>
      </c>
      <c r="H303" s="1">
        <f t="shared" si="288"/>
        <v>1.2136483573367761E-2</v>
      </c>
      <c r="I303" s="1">
        <f t="shared" si="288"/>
        <v>8.0039582076863705E-4</v>
      </c>
      <c r="J303" s="1">
        <f t="shared" si="288"/>
        <v>8.6492530958187631E-4</v>
      </c>
      <c r="K303" s="1">
        <f t="shared" si="288"/>
        <v>5.2164795103538876E-4</v>
      </c>
      <c r="L303" s="1">
        <f t="shared" ref="L303" si="289">L299</f>
        <v>1.564441169640462E-3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2.9719737222696904E-3</v>
      </c>
      <c r="G304" s="1">
        <f t="shared" si="290"/>
        <v>1.7543478863483046E-4</v>
      </c>
      <c r="H304" s="1">
        <f t="shared" si="290"/>
        <v>7.9118673155167865E-4</v>
      </c>
      <c r="I304" s="1">
        <f t="shared" si="290"/>
        <v>2.0212467087980796E-4</v>
      </c>
      <c r="J304" s="1">
        <f t="shared" si="290"/>
        <v>1.9560947066703097E-4</v>
      </c>
      <c r="K304" s="1">
        <f t="shared" si="290"/>
        <v>1.2372295757665734E-4</v>
      </c>
      <c r="L304" s="1">
        <f t="shared" ref="L304" si="291">L300</f>
        <v>1.9580005196566489E-4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2.060799707390357E-2</v>
      </c>
      <c r="G305" s="1">
        <f t="shared" si="292"/>
        <v>5.3115854351202134E-2</v>
      </c>
      <c r="H305" s="1">
        <f t="shared" si="292"/>
        <v>3.4245380696082549E-3</v>
      </c>
      <c r="I305" s="1">
        <f t="shared" si="292"/>
        <v>7.4713176727244549E-2</v>
      </c>
      <c r="J305" s="1">
        <f t="shared" si="292"/>
        <v>0.10906509694275331</v>
      </c>
      <c r="K305" s="1">
        <f t="shared" si="292"/>
        <v>1.9429397538702913E-2</v>
      </c>
      <c r="L305" s="1">
        <f t="shared" ref="L305" si="293">L301</f>
        <v>2.3375971207420458E-2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4.0500774078750892</v>
      </c>
      <c r="G310" s="1">
        <f t="shared" ref="G310:K310" si="294">SUM(G311:G325)</f>
        <v>2.2696566035864292</v>
      </c>
      <c r="H310" s="1">
        <f t="shared" si="294"/>
        <v>2.6950583374646886</v>
      </c>
      <c r="I310" s="1">
        <f>IFERROR(SUM(I311:I325),0)</f>
        <v>3.2786875392946726</v>
      </c>
      <c r="J310" s="1">
        <f t="shared" si="294"/>
        <v>8.3117230004630258</v>
      </c>
      <c r="K310" s="1">
        <f t="shared" si="294"/>
        <v>8.1118260721082258</v>
      </c>
      <c r="L310" s="1">
        <f t="shared" ref="L310" si="295">SUM(L311:L325)</f>
        <v>12.591035260001544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1.0284252846568869E-3</v>
      </c>
      <c r="L311" s="1">
        <f>'[2]Electricity and CHPs_IN'!H$21</f>
        <v>9.4355319360293795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1.7681863537931536E-3</v>
      </c>
      <c r="K312" s="1">
        <f>'[2]Electricity and CHPs_IN'!G$22</f>
        <v>6.7036463258350533E-4</v>
      </c>
      <c r="L312" s="1">
        <f>'[2]Electricity and CHPs_IN'!H$22</f>
        <v>3.7201904287126638E-3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2.1113350501544508E-5</v>
      </c>
      <c r="L313" s="1">
        <f>'[2]Electricity and CHPs_IN'!H$23</f>
        <v>6.5429713333101395E-5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1.2799285052079152</v>
      </c>
      <c r="G314" s="1">
        <f>IFERROR(G86/SUM(G86+G189),0)*'[1]Electricity and CHPs_IN'!C$24</f>
        <v>2.6516060622743025E-4</v>
      </c>
      <c r="H314" s="1">
        <f>IFERROR(H86/SUM(H86+H189),0)*'[1]Electricity and CHPs_IN'!D$24</f>
        <v>9.7029317087156383E-2</v>
      </c>
      <c r="I314" s="1">
        <f>IFERROR(I86/SUM(I86+I189),0)*'[1]Electricity and CHPs_IN'!E$24</f>
        <v>1.0679870032867954E-2</v>
      </c>
      <c r="J314" s="1">
        <f>IFERROR(J86/SUM(J86+J189),0)*'[2]Electricity and CHPs_IN'!F$24</f>
        <v>2.0183874087677718E-3</v>
      </c>
      <c r="K314" s="1">
        <f>IFERROR(K86/SUM(K86+K189),0)*'[2]Electricity and CHPs_IN'!G$24</f>
        <v>8.7749918868243384E-4</v>
      </c>
      <c r="L314" s="1">
        <f>IFERROR(L86/SUM(L86+L189),0)*'[2]Electricity and CHPs_IN'!H$24</f>
        <v>1.7170487257701433E-3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6.0128422718347448E-3</v>
      </c>
      <c r="L315" s="1">
        <f>IFERROR(L87/SUM(L87+L190),0)*'[2]Electricity and CHPs_IN'!H$29</f>
        <v>0.57830158931231612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0.89328941523629091</v>
      </c>
      <c r="G316" s="1">
        <f>G88/SUM(G88,G241)*'[1]Electricity and CHPs_IN'!C$39</f>
        <v>0.22105237751275317</v>
      </c>
      <c r="H316" s="1">
        <f>H88/SUM(H88,H241)*'[1]Electricity and CHPs_IN'!D$39</f>
        <v>1.2735797106813234</v>
      </c>
      <c r="I316" s="1">
        <f>I88/SUM(I88,I241)*'[1]Electricity and CHPs_IN'!E$39</f>
        <v>1.8879543052012537</v>
      </c>
      <c r="J316" s="1">
        <f>J88/SUM(J88,J241)*'[2]Electricity and CHPs_IN'!F$39</f>
        <v>0.58215206624487426</v>
      </c>
      <c r="K316" s="1">
        <f>K88/SUM(K88,K241)*'[2]Electricity and CHPs_IN'!G$39</f>
        <v>0.12617161774783908</v>
      </c>
      <c r="L316" s="1">
        <f>L88/SUM(L88,L241)*'[2]Electricity and CHPs_IN'!H$39</f>
        <v>3.3467507845484246E-2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0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1.5920377470841941E-2</v>
      </c>
      <c r="G319" s="1">
        <f>G91/SUM(G91,G244)*'[1]Electricity and CHPs_IN'!C$48</f>
        <v>9.4717891111795389E-4</v>
      </c>
      <c r="H319" s="1">
        <f>H91/SUM(H91,H244)*'[1]Electricity and CHPs_IN'!D$48</f>
        <v>2.6236798693553831E-3</v>
      </c>
      <c r="I319" s="1">
        <f>IFERROR(I91/SUM(I91,I244)*'[1]Electricity and CHPs_IN'!E$48,0)</f>
        <v>0</v>
      </c>
      <c r="J319" s="1">
        <f>J91/SUM(J91,J244)*'[2]Electricity and CHPs_IN'!F$48</f>
        <v>5.5423698279909147E-3</v>
      </c>
      <c r="K319" s="1">
        <f>K91/SUM(K91,K244)*'[2]Electricity and CHPs_IN'!G$48</f>
        <v>2.1249154751474802E-3</v>
      </c>
      <c r="L319" s="1">
        <f>L91/SUM(L91,L244)*'[2]Electricity and CHPs_IN'!H$48</f>
        <v>4.1672150793535355E-4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2.5296360199178149E-4</v>
      </c>
      <c r="K320" s="1">
        <f>IFERROR(K92/SUM(K92,K245),0)*'[2]Electricity and CHPs_IN'!G$49</f>
        <v>2.6097455568171502E-4</v>
      </c>
      <c r="L320" s="1">
        <f>IFERROR(L92/SUM(L92,L245),0)*'[2]Electricity and CHPs_IN'!H$49</f>
        <v>2.2649194143402194E-4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3.1735812854462399E-2</v>
      </c>
      <c r="G321" s="1">
        <f>IFERROR(G93/SUM(G93,G246),0)*'[1]Electricity and CHPs_IN'!C$51</f>
        <v>1.6658429518855565E-3</v>
      </c>
      <c r="H321" s="1">
        <f>IFERROR(H93/SUM(H93,H246),0)*'[1]Electricity and CHPs_IN'!D$51</f>
        <v>3.2454990270517968E-3</v>
      </c>
      <c r="I321" s="1">
        <f>IFERROR(I93/SUM(I93,I246),0)*'[1]Electricity and CHPs_IN'!E$51</f>
        <v>0</v>
      </c>
      <c r="J321" s="1">
        <f>IFERROR(J93/SUM(J93,J246),0)*'[2]Electricity and CHPs_IN'!F$51</f>
        <v>1.3153763082868746</v>
      </c>
      <c r="K321" s="1">
        <f>IFERROR(K93/SUM(K93,K246),0)*'[2]Electricity and CHPs_IN'!G$51</f>
        <v>1.9328071528040889</v>
      </c>
      <c r="L321" s="1">
        <f>IFERROR(L93/SUM(L93,L246),0)*'[2]Electricity and CHPs_IN'!H$51</f>
        <v>1.0312979387649508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1.5852567939681705E-3</v>
      </c>
      <c r="K322" s="1">
        <f>IFERROR(K94/SUM(K94,K247),0)*'[2]Electricity and CHPs_IN'!G$52</f>
        <v>2.3206202828110509E-3</v>
      </c>
      <c r="L322" s="1">
        <f>IFERROR(L94/SUM(L94,L247),0)*'[2]Electricity and CHPs_IN'!H$52</f>
        <v>1.725866562044203E-3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1.0647009893707091</v>
      </c>
      <c r="G323" s="1">
        <f>IFERROR(G95/SUM(G95,G248),0)*'[1]Electricity and CHPs_IN'!C$54</f>
        <v>1.2550000575015496</v>
      </c>
      <c r="H323" s="1">
        <f>IFERROR(H95/SUM(H95,H248),0)*'[1]Electricity and CHPs_IN'!D$54</f>
        <v>1.2996896590518983</v>
      </c>
      <c r="I323" s="1">
        <f>IFERROR(I95/SUM(I95,I248),0)*'[1]Electricity and CHPs_IN'!E$54</f>
        <v>1.3800533640605512</v>
      </c>
      <c r="J323" s="1">
        <f>IFERROR(J95/SUM(J95,J248),0)*'[2]Electricity and CHPs_IN'!F$54</f>
        <v>1.4562758135996647</v>
      </c>
      <c r="K323" s="1">
        <f>IFERROR(K95/SUM(K95,K248),0)*'[2]Electricity and CHPs_IN'!G$54</f>
        <v>1.5445699178478882</v>
      </c>
      <c r="L323" s="1">
        <f>IFERROR(L95/SUM(L95,L248),0)*'[2]Electricity and CHPs_IN'!H$54</f>
        <v>1.5036361299708771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0.76450230773486938</v>
      </c>
      <c r="G324" s="1">
        <f>IFERROR(G96/SUM(G96,G249),0)*'[1]Electricity and CHPs_IN'!C$55</f>
        <v>0.79072598610289535</v>
      </c>
      <c r="H324" s="1">
        <f>IFERROR(H96/SUM(H96,H249),0)*'[1]Electricity and CHPs_IN'!D$55</f>
        <v>1.8890471747903512E-2</v>
      </c>
      <c r="I324" s="1">
        <f>IFERROR(I96/SUM(I96,I249),0)*'[1]Electricity and CHPs_IN'!E$55</f>
        <v>0</v>
      </c>
      <c r="J324" s="1">
        <f>IFERROR(J96/SUM(J96,J249),0)*'[2]Electricity and CHPs_IN'!F$55</f>
        <v>4.9462864032580711</v>
      </c>
      <c r="K324" s="1">
        <f>IFERROR(K96/SUM(K96,K249),0)*'[2]Electricity and CHPs_IN'!G$55</f>
        <v>4.4939310154708485</v>
      </c>
      <c r="L324" s="1">
        <f>IFERROR(L96/SUM(L96,L249),0)*'[2]Electricity and CHPs_IN'!H$55</f>
        <v>3.5513266655247161E-4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4.6524508702843338E-4</v>
      </c>
      <c r="K325" s="1">
        <f>IFERROR(K97/SUM(K97,K250),0)*'[2]Electricity and CHPs_IN'!G$58</f>
        <v>1.0296131956616529E-3</v>
      </c>
      <c r="L325" s="1">
        <f>IFERROR(L97/SUM(L97,L250),0)*'[2]Electricity and CHPs_IN'!H$58</f>
        <v>5.7327653275546188E-4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2.9093101777401156</v>
      </c>
      <c r="G326" s="1">
        <f t="shared" ref="G326:K326" si="296">G310-G342</f>
        <v>0.98484168612157452</v>
      </c>
      <c r="H326" s="1">
        <f t="shared" si="296"/>
        <v>1.2792670285555847</v>
      </c>
      <c r="I326" s="1">
        <f>IFERROR(I310-I342,0)</f>
        <v>1.6444903091754988</v>
      </c>
      <c r="J326" s="1">
        <f t="shared" si="296"/>
        <v>6.7764621137001688</v>
      </c>
      <c r="K326" s="1">
        <f t="shared" si="296"/>
        <v>6.534894132741206</v>
      </c>
      <c r="L326" s="1">
        <f t="shared" ref="L326" si="297">L310-L342</f>
        <v>11.030181844844428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8">IFERROR(G99/G83,0)*G311</f>
        <v>0</v>
      </c>
      <c r="H327" s="1">
        <f t="shared" si="298"/>
        <v>0</v>
      </c>
      <c r="I327" s="1">
        <f t="shared" si="298"/>
        <v>0</v>
      </c>
      <c r="J327" s="1">
        <f t="shared" si="298"/>
        <v>0</v>
      </c>
      <c r="K327" s="1">
        <f t="shared" si="298"/>
        <v>1.023360716770677E-3</v>
      </c>
      <c r="L327" s="1">
        <f t="shared" ref="L327" si="299">IFERROR(L99/L83,0)*L311</f>
        <v>9.3868946196020318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300">IFERROR(F100/F84,0)*F312</f>
        <v>0</v>
      </c>
      <c r="G328" s="1">
        <f t="shared" si="300"/>
        <v>0</v>
      </c>
      <c r="H328" s="1">
        <f t="shared" si="300"/>
        <v>0</v>
      </c>
      <c r="I328" s="1">
        <f t="shared" si="300"/>
        <v>0</v>
      </c>
      <c r="J328" s="1">
        <f t="shared" si="300"/>
        <v>1.7478141848136985E-3</v>
      </c>
      <c r="K328" s="1">
        <f t="shared" si="300"/>
        <v>6.6706336486781887E-4</v>
      </c>
      <c r="L328" s="1">
        <f t="shared" ref="L328" si="301">IFERROR(L100/L84,0)*L312</f>
        <v>3.7010139710123434E-3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2">IFERROR(F101/F85,0)*F313</f>
        <v>0</v>
      </c>
      <c r="G329" s="1">
        <f t="shared" si="302"/>
        <v>0</v>
      </c>
      <c r="H329" s="1">
        <f t="shared" si="302"/>
        <v>0</v>
      </c>
      <c r="I329" s="1">
        <f t="shared" si="302"/>
        <v>0</v>
      </c>
      <c r="J329" s="1">
        <f t="shared" si="302"/>
        <v>0</v>
      </c>
      <c r="K329" s="1">
        <f t="shared" si="302"/>
        <v>0</v>
      </c>
      <c r="L329" s="1">
        <f t="shared" ref="L329" si="303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4">IFERROR(F102/F86,0)*F314</f>
        <v>1.2473164201004143</v>
      </c>
      <c r="G330" s="1">
        <f t="shared" si="304"/>
        <v>2.5736907679516996E-4</v>
      </c>
      <c r="H330" s="1">
        <f t="shared" si="304"/>
        <v>8.8955992830551417E-2</v>
      </c>
      <c r="I330" s="1">
        <f t="shared" si="304"/>
        <v>9.2503037190613466E-3</v>
      </c>
      <c r="J330" s="1">
        <f t="shared" si="304"/>
        <v>1.9951325469319634E-3</v>
      </c>
      <c r="K330" s="1">
        <f t="shared" si="304"/>
        <v>8.7317786920742776E-4</v>
      </c>
      <c r="L330" s="1">
        <f t="shared" ref="L330" si="305">IFERROR(L102/L86,0)*L314</f>
        <v>1.7081978583508336E-3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6">IFERROR(F103/F87,0)*F315</f>
        <v>0</v>
      </c>
      <c r="G331" s="1">
        <f t="shared" si="306"/>
        <v>0</v>
      </c>
      <c r="H331" s="1">
        <f t="shared" si="306"/>
        <v>0</v>
      </c>
      <c r="I331" s="1">
        <f t="shared" si="306"/>
        <v>0</v>
      </c>
      <c r="J331" s="1">
        <f t="shared" si="306"/>
        <v>0</v>
      </c>
      <c r="K331" s="1">
        <f t="shared" si="306"/>
        <v>5.9832315180647806E-3</v>
      </c>
      <c r="L331" s="1">
        <f t="shared" ref="L331" si="307">IFERROR(L103/L87,0)*L315</f>
        <v>0.57532061933833734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8">IFERROR(F104/F88,0)*F316</f>
        <v>0.87052874515450129</v>
      </c>
      <c r="G332" s="1">
        <f t="shared" si="308"/>
        <v>0.21455693262006625</v>
      </c>
      <c r="H332" s="1">
        <f t="shared" si="308"/>
        <v>1.1676115117943038</v>
      </c>
      <c r="I332" s="1">
        <f t="shared" si="308"/>
        <v>1.6352400054564378</v>
      </c>
      <c r="J332" s="1">
        <f t="shared" si="308"/>
        <v>0.57544479795279757</v>
      </c>
      <c r="K332" s="1">
        <f t="shared" si="308"/>
        <v>0.12555027487254206</v>
      </c>
      <c r="L332" s="1">
        <f t="shared" ref="L332" si="309">IFERROR(L104/L88,0)*L316</f>
        <v>3.3294992953886028E-2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10">IFERROR(F105/F89,0)*F317</f>
        <v>0</v>
      </c>
      <c r="G333" s="1">
        <f t="shared" si="310"/>
        <v>0</v>
      </c>
      <c r="H333" s="1">
        <f t="shared" si="310"/>
        <v>0</v>
      </c>
      <c r="I333" s="1">
        <f t="shared" si="310"/>
        <v>0</v>
      </c>
      <c r="J333" s="1">
        <f t="shared" si="310"/>
        <v>0</v>
      </c>
      <c r="K333" s="1">
        <f t="shared" si="310"/>
        <v>0</v>
      </c>
      <c r="L333" s="1">
        <f t="shared" ref="L333" si="311">IFERROR(L105/L89,0)*L317</f>
        <v>0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2">IFERROR(F106/F90,0)*F318</f>
        <v>0</v>
      </c>
      <c r="G334" s="1">
        <f t="shared" si="312"/>
        <v>0</v>
      </c>
      <c r="H334" s="1">
        <f t="shared" si="312"/>
        <v>0</v>
      </c>
      <c r="I334" s="1">
        <f t="shared" si="312"/>
        <v>0</v>
      </c>
      <c r="J334" s="1">
        <f t="shared" si="312"/>
        <v>0</v>
      </c>
      <c r="K334" s="1">
        <f t="shared" si="312"/>
        <v>0</v>
      </c>
      <c r="L334" s="1">
        <f t="shared" ref="L334" si="313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4">IFERROR(F107/F91,0)*F319</f>
        <v>1.5514732387612628E-2</v>
      </c>
      <c r="G335" s="1">
        <f t="shared" si="314"/>
        <v>9.1934682674995423E-4</v>
      </c>
      <c r="H335" s="1">
        <f t="shared" si="314"/>
        <v>2.4053765877625997E-3</v>
      </c>
      <c r="I335" s="1">
        <f>IFERROR(IFERROR(I107/I91,0)*I319,0)</f>
        <v>0</v>
      </c>
      <c r="J335" s="1">
        <f t="shared" si="314"/>
        <v>5.4785133829729745E-3</v>
      </c>
      <c r="K335" s="1">
        <f t="shared" si="314"/>
        <v>2.1144511479504555E-3</v>
      </c>
      <c r="L335" s="1">
        <f t="shared" ref="L335" si="315">IFERROR(L107/L91,0)*L319</f>
        <v>4.1457343446361429E-4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6">IFERROR(F108/F92,0)*F320</f>
        <v>0</v>
      </c>
      <c r="G336" s="1">
        <f t="shared" si="316"/>
        <v>0</v>
      </c>
      <c r="H336" s="1">
        <f t="shared" si="316"/>
        <v>0</v>
      </c>
      <c r="I336" s="1">
        <f t="shared" si="316"/>
        <v>0</v>
      </c>
      <c r="J336" s="1">
        <f t="shared" si="316"/>
        <v>2.50049080434496E-4</v>
      </c>
      <c r="K336" s="1">
        <f t="shared" si="316"/>
        <v>2.5968936425989526E-4</v>
      </c>
      <c r="L336" s="1">
        <f t="shared" ref="L336" si="317">IFERROR(L108/L92,0)*L320</f>
        <v>2.2532444390463443E-4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8">IFERROR(F109/F93,0)*F321</f>
        <v>3.0927196571947993E-2</v>
      </c>
      <c r="G337" s="1">
        <f t="shared" si="318"/>
        <v>1.6168935073439827E-3</v>
      </c>
      <c r="H337" s="1">
        <f t="shared" si="318"/>
        <v>2.975457282901941E-3</v>
      </c>
      <c r="I337" s="1">
        <f t="shared" si="318"/>
        <v>0</v>
      </c>
      <c r="J337" s="1">
        <f t="shared" si="318"/>
        <v>1.3002211927830667</v>
      </c>
      <c r="K337" s="1">
        <f t="shared" si="318"/>
        <v>1.923288879398749</v>
      </c>
      <c r="L337" s="1">
        <f t="shared" ref="L337" si="319">IFERROR(L109/L93,0)*L321</f>
        <v>1.0259819094707199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20">IFERROR(F110/F94,0)*F322</f>
        <v>0</v>
      </c>
      <c r="G338" s="1">
        <f t="shared" si="320"/>
        <v>0</v>
      </c>
      <c r="H338" s="1">
        <f t="shared" si="320"/>
        <v>0</v>
      </c>
      <c r="I338" s="1">
        <f t="shared" si="320"/>
        <v>0</v>
      </c>
      <c r="J338" s="1">
        <f t="shared" si="320"/>
        <v>1.5669922489368912E-3</v>
      </c>
      <c r="K338" s="1">
        <f t="shared" si="320"/>
        <v>2.3091921906241361E-3</v>
      </c>
      <c r="L338" s="1">
        <f t="shared" ref="L338" si="321">IFERROR(L110/L94,0)*L322</f>
        <v>1.7169702413429824E-3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22">IFERROR(F111/F95,0)*F323</f>
        <v>0</v>
      </c>
      <c r="G339" s="1">
        <f t="shared" si="322"/>
        <v>0</v>
      </c>
      <c r="H339" s="1">
        <f t="shared" si="322"/>
        <v>0</v>
      </c>
      <c r="I339" s="1">
        <f t="shared" si="322"/>
        <v>0</v>
      </c>
      <c r="J339" s="1">
        <f t="shared" si="322"/>
        <v>0</v>
      </c>
      <c r="K339" s="1">
        <f t="shared" si="322"/>
        <v>0</v>
      </c>
      <c r="L339" s="1">
        <f t="shared" ref="L339" si="323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4">IFERROR(F112/F96,0)*F324</f>
        <v>0.74502308352563884</v>
      </c>
      <c r="G340" s="1">
        <f t="shared" si="324"/>
        <v>0.76749114409061903</v>
      </c>
      <c r="H340" s="1">
        <f t="shared" si="324"/>
        <v>1.7318690060065089E-2</v>
      </c>
      <c r="I340" s="1">
        <f t="shared" si="324"/>
        <v>0</v>
      </c>
      <c r="J340" s="1">
        <f t="shared" si="324"/>
        <v>4.8892977367570616</v>
      </c>
      <c r="K340" s="1">
        <f t="shared" si="324"/>
        <v>4.4718002695203634</v>
      </c>
      <c r="L340" s="1">
        <f t="shared" ref="L340" si="325">IFERROR(L112/L96,0)*L324</f>
        <v>3.5330206495057937E-4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6">IFERROR(F113/F97,0)*F325</f>
        <v>0</v>
      </c>
      <c r="G341" s="1">
        <f t="shared" si="326"/>
        <v>0</v>
      </c>
      <c r="H341" s="1">
        <f t="shared" si="326"/>
        <v>0</v>
      </c>
      <c r="I341" s="1">
        <f t="shared" si="326"/>
        <v>0</v>
      </c>
      <c r="J341" s="1">
        <f t="shared" si="326"/>
        <v>4.5988476315223566E-4</v>
      </c>
      <c r="K341" s="1">
        <f t="shared" si="326"/>
        <v>1.0245427778065475E-3</v>
      </c>
      <c r="L341" s="1">
        <f t="shared" ref="L341" si="327">IFERROR(L113/L97,0)*L325</f>
        <v>5.7032146542984228E-4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1.1407672301349738</v>
      </c>
      <c r="G342" s="1">
        <f t="shared" ref="G342:K342" si="328">SUM(G343:G357)</f>
        <v>1.2848149174648547</v>
      </c>
      <c r="H342" s="1">
        <f t="shared" si="328"/>
        <v>1.4157913089091039</v>
      </c>
      <c r="I342" s="1">
        <f>IFERROR(SUM(I343:I357),0)</f>
        <v>1.6341972301191738</v>
      </c>
      <c r="J342" s="1">
        <f t="shared" si="328"/>
        <v>1.5352608867628568</v>
      </c>
      <c r="K342" s="1">
        <f t="shared" si="328"/>
        <v>1.5769319393670196</v>
      </c>
      <c r="L342" s="1">
        <f t="shared" ref="L342" si="329">SUM(L343:L357)</f>
        <v>1.5608534151571154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30">G311-G327</f>
        <v>0</v>
      </c>
      <c r="H343" s="1">
        <f t="shared" si="330"/>
        <v>0</v>
      </c>
      <c r="I343" s="1">
        <f t="shared" si="330"/>
        <v>0</v>
      </c>
      <c r="J343" s="1">
        <f t="shared" si="330"/>
        <v>0</v>
      </c>
      <c r="K343" s="1">
        <f t="shared" si="330"/>
        <v>5.0645678862099985E-6</v>
      </c>
      <c r="L343" s="1">
        <f t="shared" ref="L343" si="331">L311-L327</f>
        <v>4.8637316427347699E-2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32">F312-F328</f>
        <v>0</v>
      </c>
      <c r="G344" s="1">
        <f t="shared" si="332"/>
        <v>0</v>
      </c>
      <c r="H344" s="1">
        <f t="shared" si="332"/>
        <v>0</v>
      </c>
      <c r="I344" s="1">
        <f t="shared" si="332"/>
        <v>0</v>
      </c>
      <c r="J344" s="1">
        <f t="shared" si="332"/>
        <v>2.037216897945505E-5</v>
      </c>
      <c r="K344" s="1">
        <f t="shared" si="332"/>
        <v>3.3012677156864668E-6</v>
      </c>
      <c r="L344" s="1">
        <f t="shared" ref="L344" si="333">L312-L328</f>
        <v>1.9176457700320441E-5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4">F313-F329</f>
        <v>0</v>
      </c>
      <c r="G345" s="1">
        <f t="shared" si="334"/>
        <v>0</v>
      </c>
      <c r="H345" s="1">
        <f t="shared" si="334"/>
        <v>0</v>
      </c>
      <c r="I345" s="1">
        <f t="shared" si="334"/>
        <v>0</v>
      </c>
      <c r="J345" s="1">
        <f t="shared" si="334"/>
        <v>0</v>
      </c>
      <c r="K345" s="1">
        <f t="shared" si="334"/>
        <v>2.1113350501544508E-5</v>
      </c>
      <c r="L345" s="1">
        <f t="shared" ref="L345" si="335">L313-L329</f>
        <v>6.5429713333101395E-5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6">F314-F330</f>
        <v>3.261208510750091E-2</v>
      </c>
      <c r="G346" s="1">
        <f t="shared" si="336"/>
        <v>7.7915294322602872E-6</v>
      </c>
      <c r="H346" s="1">
        <f t="shared" si="336"/>
        <v>8.0733242566049662E-3</v>
      </c>
      <c r="I346" s="1">
        <f t="shared" si="336"/>
        <v>1.4295663138066076E-3</v>
      </c>
      <c r="J346" s="1">
        <f t="shared" si="336"/>
        <v>2.3254861835808344E-5</v>
      </c>
      <c r="K346" s="1">
        <f t="shared" si="336"/>
        <v>4.3213194750060758E-6</v>
      </c>
      <c r="L346" s="1">
        <f t="shared" ref="L346" si="337">L314-L330</f>
        <v>8.8508674193096912E-6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8">F315-F331</f>
        <v>0</v>
      </c>
      <c r="G347" s="1">
        <f t="shared" si="338"/>
        <v>0</v>
      </c>
      <c r="H347" s="1">
        <f t="shared" si="338"/>
        <v>0</v>
      </c>
      <c r="I347" s="1">
        <f t="shared" si="338"/>
        <v>0</v>
      </c>
      <c r="J347" s="1">
        <f t="shared" si="338"/>
        <v>0</v>
      </c>
      <c r="K347" s="1">
        <f t="shared" si="338"/>
        <v>2.9610753769964207E-5</v>
      </c>
      <c r="L347" s="1">
        <f t="shared" ref="L347" si="339">L315-L331</f>
        <v>2.9809699739787865E-3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40">F316-F332</f>
        <v>2.2760670081789613E-2</v>
      </c>
      <c r="G348" s="1">
        <f t="shared" si="340"/>
        <v>6.4954448926869135E-3</v>
      </c>
      <c r="H348" s="1">
        <f t="shared" si="340"/>
        <v>0.10596819888701958</v>
      </c>
      <c r="I348" s="1">
        <f t="shared" si="340"/>
        <v>0.25271429974481596</v>
      </c>
      <c r="J348" s="1">
        <f t="shared" si="340"/>
        <v>6.7072682920766846E-3</v>
      </c>
      <c r="K348" s="1">
        <f t="shared" si="340"/>
        <v>6.2134287529702625E-4</v>
      </c>
      <c r="L348" s="1">
        <f t="shared" ref="L348" si="341">L316-L332</f>
        <v>1.7251489159821748E-4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42">F317-F333</f>
        <v>0</v>
      </c>
      <c r="G349" s="1">
        <f t="shared" si="342"/>
        <v>0</v>
      </c>
      <c r="H349" s="1">
        <f t="shared" si="342"/>
        <v>0</v>
      </c>
      <c r="I349" s="1">
        <f t="shared" si="342"/>
        <v>0</v>
      </c>
      <c r="J349" s="1">
        <f t="shared" si="342"/>
        <v>0</v>
      </c>
      <c r="K349" s="1">
        <f t="shared" si="342"/>
        <v>0</v>
      </c>
      <c r="L349" s="1">
        <f t="shared" ref="L349" si="343">L317-L333</f>
        <v>0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4">F318-F334</f>
        <v>0</v>
      </c>
      <c r="G350" s="1">
        <f t="shared" si="344"/>
        <v>0</v>
      </c>
      <c r="H350" s="1">
        <f t="shared" si="344"/>
        <v>0</v>
      </c>
      <c r="I350" s="1">
        <f t="shared" si="344"/>
        <v>0</v>
      </c>
      <c r="J350" s="1">
        <f t="shared" si="344"/>
        <v>0</v>
      </c>
      <c r="K350" s="1">
        <f t="shared" si="344"/>
        <v>0</v>
      </c>
      <c r="L350" s="1">
        <f t="shared" ref="L350" si="345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6">F319-F335</f>
        <v>4.0564508322931368E-4</v>
      </c>
      <c r="G351" s="1">
        <f t="shared" si="346"/>
        <v>2.7832084367999661E-5</v>
      </c>
      <c r="H351" s="1">
        <f t="shared" si="346"/>
        <v>2.1830328159278337E-4</v>
      </c>
      <c r="I351" s="1">
        <f>IFERROR(I319-I335,0)</f>
        <v>0</v>
      </c>
      <c r="J351" s="1">
        <f t="shared" si="346"/>
        <v>6.3856445017940189E-5</v>
      </c>
      <c r="K351" s="1">
        <f t="shared" si="346"/>
        <v>1.0464327197024642E-5</v>
      </c>
      <c r="L351" s="1">
        <f t="shared" ref="L351" si="347">L319-L335</f>
        <v>2.1480734717392656E-6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8">F320-F336</f>
        <v>0</v>
      </c>
      <c r="G352" s="1">
        <f t="shared" si="348"/>
        <v>0</v>
      </c>
      <c r="H352" s="1">
        <f t="shared" si="348"/>
        <v>0</v>
      </c>
      <c r="I352" s="1">
        <f t="shared" si="348"/>
        <v>0</v>
      </c>
      <c r="J352" s="1">
        <f t="shared" si="348"/>
        <v>2.9145215572854983E-6</v>
      </c>
      <c r="K352" s="1">
        <f t="shared" si="348"/>
        <v>1.2851914218197594E-6</v>
      </c>
      <c r="L352" s="1">
        <f t="shared" ref="L352" si="349">L320-L336</f>
        <v>1.1674975293875049E-6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50">F321-F337</f>
        <v>8.0861628251440582E-4</v>
      </c>
      <c r="G353" s="1">
        <f t="shared" si="350"/>
        <v>4.8949444541573862E-5</v>
      </c>
      <c r="H353" s="1">
        <f t="shared" si="350"/>
        <v>2.7004174414985583E-4</v>
      </c>
      <c r="I353" s="1">
        <f t="shared" si="350"/>
        <v>0</v>
      </c>
      <c r="J353" s="1">
        <f t="shared" si="350"/>
        <v>1.5155115503807881E-2</v>
      </c>
      <c r="K353" s="1">
        <f t="shared" si="350"/>
        <v>9.5182734053398388E-3</v>
      </c>
      <c r="L353" s="1">
        <f t="shared" ref="L353" si="351">L321-L337</f>
        <v>5.3160292942309173E-3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52">F322-F338</f>
        <v>0</v>
      </c>
      <c r="G354" s="1">
        <f t="shared" si="352"/>
        <v>0</v>
      </c>
      <c r="H354" s="1">
        <f t="shared" si="352"/>
        <v>0</v>
      </c>
      <c r="I354" s="1">
        <f t="shared" si="352"/>
        <v>0</v>
      </c>
      <c r="J354" s="1">
        <f t="shared" si="352"/>
        <v>1.8264545031279264E-5</v>
      </c>
      <c r="K354" s="1">
        <f t="shared" si="352"/>
        <v>1.1428092186914745E-5</v>
      </c>
      <c r="L354" s="1">
        <f t="shared" ref="L354" si="353">L322-L338</f>
        <v>8.8963207012205617E-6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54">F323-F339</f>
        <v>1.0647009893707091</v>
      </c>
      <c r="G355" s="1">
        <f t="shared" si="354"/>
        <v>1.2550000575015496</v>
      </c>
      <c r="H355" s="1">
        <f t="shared" si="354"/>
        <v>1.2996896590518983</v>
      </c>
      <c r="I355" s="1">
        <f t="shared" si="354"/>
        <v>1.3800533640605512</v>
      </c>
      <c r="J355" s="1">
        <f t="shared" si="354"/>
        <v>1.4562758135996647</v>
      </c>
      <c r="K355" s="1">
        <f t="shared" si="354"/>
        <v>1.5445699178478882</v>
      </c>
      <c r="L355" s="1">
        <f t="shared" ref="L355" si="355">L323-L339</f>
        <v>1.5036361299708771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6">F324-F340</f>
        <v>1.9479224209230539E-2</v>
      </c>
      <c r="G356" s="1">
        <f t="shared" si="356"/>
        <v>2.3234842012276324E-2</v>
      </c>
      <c r="H356" s="1">
        <f t="shared" si="356"/>
        <v>1.5717816878384229E-3</v>
      </c>
      <c r="I356" s="1">
        <f t="shared" si="356"/>
        <v>0</v>
      </c>
      <c r="J356" s="1">
        <f t="shared" si="356"/>
        <v>5.6988666501009533E-2</v>
      </c>
      <c r="K356" s="1">
        <f t="shared" si="356"/>
        <v>2.2130745950485142E-2</v>
      </c>
      <c r="L356" s="1">
        <f t="shared" ref="L356" si="357">L324-L340</f>
        <v>1.830601601892246E-6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8">F325-F341</f>
        <v>0</v>
      </c>
      <c r="G357" s="1">
        <f t="shared" si="358"/>
        <v>0</v>
      </c>
      <c r="H357" s="1">
        <f t="shared" si="358"/>
        <v>0</v>
      </c>
      <c r="I357" s="1">
        <f t="shared" si="358"/>
        <v>0</v>
      </c>
      <c r="J357" s="1">
        <f t="shared" si="358"/>
        <v>5.3603238761977144E-6</v>
      </c>
      <c r="K357" s="1">
        <f t="shared" si="358"/>
        <v>5.0704178551053657E-6</v>
      </c>
      <c r="L357" s="1">
        <f t="shared" ref="L357" si="359">L325-L341</f>
        <v>2.9550673256195951E-6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0">E357</f>
        <v>PJ/yr.</v>
      </c>
      <c r="F358" s="1">
        <f>SUM(F359:F364)</f>
        <v>22.495508630138165</v>
      </c>
      <c r="G358" s="1">
        <f t="shared" ref="G358:K358" si="361">SUM(G359:G364)</f>
        <v>24.624385731507928</v>
      </c>
      <c r="H358" s="1">
        <f t="shared" si="361"/>
        <v>26.537268990539502</v>
      </c>
      <c r="I358" s="1">
        <f t="shared" si="361"/>
        <v>24.508014590433714</v>
      </c>
      <c r="J358" s="1">
        <f t="shared" si="361"/>
        <v>24.747053987592867</v>
      </c>
      <c r="K358" s="1">
        <f t="shared" si="361"/>
        <v>25.302926273160697</v>
      </c>
      <c r="L358" s="1">
        <f t="shared" ref="L358" si="362">SUM(L359:L364)</f>
        <v>26.458599170475775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0"/>
        <v>PJ/yr.</v>
      </c>
      <c r="F359" s="1">
        <f>'[1]Electricity and CHPs_IN'!B$19</f>
        <v>18.203590904034439</v>
      </c>
      <c r="G359" s="1">
        <f>'[1]Electricity and CHPs_IN'!C$19</f>
        <v>20.42978434837023</v>
      </c>
      <c r="H359" s="1">
        <f>'[1]Electricity and CHPs_IN'!D$19</f>
        <v>22.936518630151056</v>
      </c>
      <c r="I359" s="1">
        <f>'[1]Electricity and CHPs_IN'!E$19</f>
        <v>20.696586717140612</v>
      </c>
      <c r="J359" s="1">
        <f>'[2]Electricity and CHPs_IN'!F$19</f>
        <v>20.958776674695443</v>
      </c>
      <c r="K359" s="1">
        <f>'[2]Electricity and CHPs_IN'!G$19</f>
        <v>21.451606915022793</v>
      </c>
      <c r="L359" s="1">
        <f>'[2]Electricity and CHPs_IN'!H$19</f>
        <v>22.473410607780629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0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0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0"/>
        <v>PJ/yr.</v>
      </c>
      <c r="F361" s="1">
        <f>IFERROR(F133/SUM(F133,F198),0)*'[1]Electricity and CHPs_IN'!B$26</f>
        <v>3.8974737892304345</v>
      </c>
      <c r="G361" s="1">
        <f>IFERROR(G133/SUM(G133,G198),0)*'[1]Electricity and CHPs_IN'!C$26</f>
        <v>3.7854096989499393</v>
      </c>
      <c r="H361" s="1">
        <f>IFERROR(H133/SUM(H133,H198),0)*'[1]Electricity and CHPs_IN'!D$26</f>
        <v>3.600193510499861</v>
      </c>
      <c r="I361" s="1">
        <f>IFERROR(I133/SUM(I133,I198),0)*'[1]Electricity and CHPs_IN'!E$26</f>
        <v>3.8108774943397004</v>
      </c>
      <c r="J361" s="1">
        <f>IFERROR(J133/SUM(J133,J198),0)*'[2]Electricity and CHPs_IN'!F$26</f>
        <v>3.787658925071987</v>
      </c>
      <c r="K361" s="1">
        <f>IFERROR(K133/SUM(K133,K198),0)*'[2]Electricity and CHPs_IN'!G$26</f>
        <v>3.8510414202368533</v>
      </c>
      <c r="L361" s="1">
        <f>IFERROR(L133/SUM(L133,L198),0)*'[2]Electricity and CHPs_IN'!H$26</f>
        <v>3.9848262610807379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0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0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0"/>
        <v>PJ/yr.</v>
      </c>
      <c r="F363" s="1">
        <f>IFERROR(F135/SUM(F135,F274),0)*'[1]Electricity and CHPs_IN'!B$44</f>
        <v>0.3944439368732896</v>
      </c>
      <c r="G363" s="1">
        <f>IFERROR(G135/SUM(G135,G274),0)*'[1]Electricity and CHPs_IN'!C$44</f>
        <v>0.40919168418776164</v>
      </c>
      <c r="H363" s="1">
        <f>IFERROR(H135/SUM(H135,H274),0)*'[1]Electricity and CHPs_IN'!D$44</f>
        <v>5.5684988858629655E-4</v>
      </c>
      <c r="I363" s="1">
        <f>IFERROR(I135/SUM(I135,I274),0)*'[1]Electricity and CHPs_IN'!E$44</f>
        <v>5.5037895340206457E-4</v>
      </c>
      <c r="J363" s="1">
        <f>IFERROR(J135/SUM(J135,J274),0)*'[2]Electricity and CHPs_IN'!F$44</f>
        <v>6.1838782543749817E-4</v>
      </c>
      <c r="K363" s="1">
        <f>IFERROR(K135/SUM(K135,K274),0)*'[2]Electricity and CHPs_IN'!G$44</f>
        <v>2.7793790104822135E-4</v>
      </c>
      <c r="L363" s="1">
        <f>IFERROR(L135/SUM(L135,L274),0)*'[2]Electricity and CHPs_IN'!H$44</f>
        <v>3.6230161440738119E-4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0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0"/>
        <v>PJ/yr.</v>
      </c>
      <c r="F365" s="1">
        <f>SUM(F366:F369)</f>
        <v>11.050532346632437</v>
      </c>
      <c r="G365" s="1">
        <f t="shared" ref="G365:K365" si="363">SUM(G366:G369)</f>
        <v>12.107597023660084</v>
      </c>
      <c r="H365" s="1">
        <f t="shared" si="363"/>
        <v>13.268356070325458</v>
      </c>
      <c r="I365" s="1">
        <f t="shared" si="363"/>
        <v>12.253732105740154</v>
      </c>
      <c r="J365" s="1">
        <f t="shared" si="363"/>
        <v>12.373217799883715</v>
      </c>
      <c r="K365" s="1">
        <f t="shared" si="363"/>
        <v>12.651324167629822</v>
      </c>
      <c r="L365" s="1">
        <f t="shared" ref="L365" si="364">SUM(L366:L369)</f>
        <v>13.229118434430683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0"/>
        <v>PJ/yr.</v>
      </c>
      <c r="F366" s="1">
        <f>F359*IFERROR(F138/F131,0)</f>
        <v>9.1017954520172193</v>
      </c>
      <c r="G366" s="1">
        <f t="shared" ref="G366:K366" si="365">G359*IFERROR(G138/G131,0)</f>
        <v>10.214892174185113</v>
      </c>
      <c r="H366" s="1">
        <f t="shared" si="365"/>
        <v>11.468259315075528</v>
      </c>
      <c r="I366" s="1">
        <f t="shared" si="365"/>
        <v>10.348293358570304</v>
      </c>
      <c r="J366" s="1">
        <f t="shared" si="365"/>
        <v>10.479388337347721</v>
      </c>
      <c r="K366" s="1">
        <f t="shared" si="365"/>
        <v>10.725803457511395</v>
      </c>
      <c r="L366" s="1">
        <f t="shared" ref="L366" si="366">L359*IFERROR(L138/L131,0)</f>
        <v>11.236705303890314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0"/>
        <v>PJ/yr.</v>
      </c>
      <c r="F367" s="1">
        <f t="shared" ref="F367:K367" si="367">F360*IFERROR(F139/F132,0)</f>
        <v>0</v>
      </c>
      <c r="G367" s="1">
        <f t="shared" si="367"/>
        <v>0</v>
      </c>
      <c r="H367" s="1">
        <f t="shared" si="367"/>
        <v>0</v>
      </c>
      <c r="I367" s="1">
        <f t="shared" si="367"/>
        <v>0</v>
      </c>
      <c r="J367" s="1">
        <f t="shared" si="367"/>
        <v>0</v>
      </c>
      <c r="K367" s="1">
        <f t="shared" si="367"/>
        <v>0</v>
      </c>
      <c r="L367" s="1">
        <f t="shared" ref="L367" si="368">L360*IFERROR(L139/L132,0)</f>
        <v>0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0"/>
        <v>PJ/yr.</v>
      </c>
      <c r="F368" s="1">
        <f t="shared" ref="F368:K368" si="369">F361*IFERROR(F140/F133,0)</f>
        <v>1.9487368946152177</v>
      </c>
      <c r="G368" s="1">
        <f t="shared" si="369"/>
        <v>1.8927048494749696</v>
      </c>
      <c r="H368" s="1">
        <f t="shared" si="369"/>
        <v>1.8000967552499305</v>
      </c>
      <c r="I368" s="1">
        <f t="shared" si="369"/>
        <v>1.9054387471698502</v>
      </c>
      <c r="J368" s="1">
        <f t="shared" si="369"/>
        <v>1.8938294625359935</v>
      </c>
      <c r="K368" s="1">
        <f t="shared" si="369"/>
        <v>1.9255207101184266</v>
      </c>
      <c r="L368" s="1">
        <f t="shared" ref="L368" si="370">L361*IFERROR(L140/L133,0)</f>
        <v>1.9924131305403689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0"/>
        <v>PJ/yr.</v>
      </c>
      <c r="F369" s="1">
        <f t="shared" ref="F369:K369" si="371">F362*IFERROR(F141/F134,0)</f>
        <v>0</v>
      </c>
      <c r="G369" s="1">
        <f t="shared" si="371"/>
        <v>0</v>
      </c>
      <c r="H369" s="1">
        <f t="shared" si="371"/>
        <v>0</v>
      </c>
      <c r="I369" s="1">
        <f t="shared" si="371"/>
        <v>0</v>
      </c>
      <c r="J369" s="1">
        <f t="shared" si="371"/>
        <v>0</v>
      </c>
      <c r="K369" s="1">
        <f t="shared" si="371"/>
        <v>0</v>
      </c>
      <c r="L369" s="1">
        <f t="shared" ref="L369" si="372">L362*IFERROR(L141/L134,0)</f>
        <v>0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0"/>
        <v>PJ/yr.</v>
      </c>
      <c r="F370" s="1">
        <f t="shared" ref="F370:K370" si="373">F363*IFERROR(F142/F135,0)</f>
        <v>0</v>
      </c>
      <c r="G370" s="1">
        <f t="shared" si="373"/>
        <v>0</v>
      </c>
      <c r="H370" s="1">
        <f t="shared" si="373"/>
        <v>0</v>
      </c>
      <c r="I370" s="1">
        <f t="shared" si="373"/>
        <v>0</v>
      </c>
      <c r="J370" s="1">
        <f t="shared" si="373"/>
        <v>0</v>
      </c>
      <c r="K370" s="1">
        <f t="shared" si="373"/>
        <v>0</v>
      </c>
      <c r="L370" s="1">
        <f t="shared" ref="L370" si="374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0"/>
        <v>PJ/yr.</v>
      </c>
      <c r="F371" s="1">
        <f t="shared" ref="F371:K371" si="375">F364*IFERROR(F143/F136,0)</f>
        <v>0</v>
      </c>
      <c r="G371" s="1">
        <f t="shared" si="375"/>
        <v>0</v>
      </c>
      <c r="H371" s="1">
        <f t="shared" si="375"/>
        <v>0</v>
      </c>
      <c r="I371" s="1">
        <f t="shared" si="375"/>
        <v>0</v>
      </c>
      <c r="J371" s="1">
        <f t="shared" si="375"/>
        <v>0</v>
      </c>
      <c r="K371" s="1">
        <f t="shared" si="375"/>
        <v>0</v>
      </c>
      <c r="L371" s="1">
        <f t="shared" ref="L371" si="376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0"/>
        <v>PJ/yr.</v>
      </c>
      <c r="F372" s="1">
        <f>SUM(F373:F378)</f>
        <v>11.444976283505726</v>
      </c>
      <c r="G372" s="1">
        <f t="shared" ref="G372:K372" si="377">SUM(G373:G378)</f>
        <v>12.516788707847846</v>
      </c>
      <c r="H372" s="1">
        <f t="shared" si="377"/>
        <v>13.268912920214044</v>
      </c>
      <c r="I372" s="1">
        <f t="shared" si="377"/>
        <v>12.254282484693558</v>
      </c>
      <c r="J372" s="1">
        <f t="shared" si="377"/>
        <v>12.373836187709152</v>
      </c>
      <c r="K372" s="1">
        <f t="shared" si="377"/>
        <v>12.651602105530872</v>
      </c>
      <c r="L372" s="1">
        <f t="shared" ref="L372" si="378">SUM(L373:L378)</f>
        <v>13.22948073604509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0"/>
        <v>PJ/yr.</v>
      </c>
      <c r="F373" s="1">
        <f t="shared" ref="F373:K373" si="379">F366*IFERROR(F145/F138,0)</f>
        <v>9.1017954520172193</v>
      </c>
      <c r="G373" s="1">
        <f t="shared" si="379"/>
        <v>10.214892174185115</v>
      </c>
      <c r="H373" s="1">
        <f t="shared" si="379"/>
        <v>11.468259315075528</v>
      </c>
      <c r="I373" s="1">
        <f t="shared" si="379"/>
        <v>10.348293358570306</v>
      </c>
      <c r="J373" s="1">
        <f t="shared" si="379"/>
        <v>10.479388337347721</v>
      </c>
      <c r="K373" s="1">
        <f t="shared" si="379"/>
        <v>10.725803457511397</v>
      </c>
      <c r="L373" s="1">
        <f t="shared" ref="L373" si="380">L366*IFERROR(L145/L138,0)</f>
        <v>11.236705303890314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0"/>
        <v>PJ/yr.</v>
      </c>
      <c r="F374" s="1">
        <f t="shared" ref="F374:K374" si="381">F367*IFERROR(F146/F139,0)</f>
        <v>0</v>
      </c>
      <c r="G374" s="1">
        <f t="shared" si="381"/>
        <v>0</v>
      </c>
      <c r="H374" s="1">
        <f t="shared" si="381"/>
        <v>0</v>
      </c>
      <c r="I374" s="1">
        <f t="shared" si="381"/>
        <v>0</v>
      </c>
      <c r="J374" s="1">
        <f t="shared" si="381"/>
        <v>0</v>
      </c>
      <c r="K374" s="1">
        <f t="shared" si="381"/>
        <v>0</v>
      </c>
      <c r="L374" s="1">
        <f t="shared" ref="L374" si="382">L367*IFERROR(L146/L139,0)</f>
        <v>0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0"/>
        <v>PJ/yr.</v>
      </c>
      <c r="F375" s="1">
        <f t="shared" ref="F375:K375" si="383">F368*IFERROR(F147/F140,0)</f>
        <v>1.948736894615217</v>
      </c>
      <c r="G375" s="1">
        <f t="shared" si="383"/>
        <v>1.8927048494749696</v>
      </c>
      <c r="H375" s="1">
        <f t="shared" si="383"/>
        <v>1.8000967552499305</v>
      </c>
      <c r="I375" s="1">
        <f t="shared" si="383"/>
        <v>1.9054387471698502</v>
      </c>
      <c r="J375" s="1">
        <f t="shared" si="383"/>
        <v>1.8938294625359935</v>
      </c>
      <c r="K375" s="1">
        <f t="shared" si="383"/>
        <v>1.9255207101184266</v>
      </c>
      <c r="L375" s="1">
        <f t="shared" ref="L375" si="384">L368*IFERROR(L147/L140,0)</f>
        <v>1.9924131305403689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0"/>
        <v>PJ/yr.</v>
      </c>
      <c r="F376" s="1">
        <f t="shared" ref="F376:K376" si="385">F369*IFERROR(F148/F141,0)</f>
        <v>0</v>
      </c>
      <c r="G376" s="1">
        <f t="shared" si="385"/>
        <v>0</v>
      </c>
      <c r="H376" s="1">
        <f t="shared" si="385"/>
        <v>0</v>
      </c>
      <c r="I376" s="1">
        <f t="shared" si="385"/>
        <v>0</v>
      </c>
      <c r="J376" s="1">
        <f t="shared" si="385"/>
        <v>0</v>
      </c>
      <c r="K376" s="1">
        <f t="shared" si="385"/>
        <v>0</v>
      </c>
      <c r="L376" s="1">
        <f t="shared" ref="L376" si="386">L369*IFERROR(L148/L141,0)</f>
        <v>0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0"/>
        <v>PJ/yr.</v>
      </c>
      <c r="F377" s="1">
        <f>F363</f>
        <v>0.3944439368732896</v>
      </c>
      <c r="G377" s="1">
        <f t="shared" ref="G377:K377" si="387">G363</f>
        <v>0.40919168418776164</v>
      </c>
      <c r="H377" s="1">
        <f t="shared" si="387"/>
        <v>5.5684988858629655E-4</v>
      </c>
      <c r="I377" s="1">
        <f t="shared" si="387"/>
        <v>5.5037895340206457E-4</v>
      </c>
      <c r="J377" s="1">
        <f t="shared" si="387"/>
        <v>6.1838782543749817E-4</v>
      </c>
      <c r="K377" s="1">
        <f t="shared" si="387"/>
        <v>2.7793790104822135E-4</v>
      </c>
      <c r="L377" s="1">
        <f t="shared" ref="L377" si="388">L363</f>
        <v>3.6230161440738119E-4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0"/>
        <v>PJ/yr.</v>
      </c>
      <c r="F378" s="1">
        <f t="shared" ref="F378:K378" si="389">F364</f>
        <v>0</v>
      </c>
      <c r="G378" s="1">
        <f t="shared" si="389"/>
        <v>0</v>
      </c>
      <c r="H378" s="1">
        <f t="shared" si="389"/>
        <v>0</v>
      </c>
      <c r="I378" s="1">
        <f t="shared" si="389"/>
        <v>0</v>
      </c>
      <c r="J378" s="1">
        <f t="shared" si="389"/>
        <v>0</v>
      </c>
      <c r="K378" s="1">
        <f t="shared" si="389"/>
        <v>0</v>
      </c>
      <c r="L378" s="1">
        <f t="shared" ref="L378" si="390">L364</f>
        <v>0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0"/>
        <v>PJ/yr.</v>
      </c>
      <c r="F379" s="1">
        <f>SUM(F380:F386)</f>
        <v>0.51947458255810541</v>
      </c>
      <c r="G379" s="1">
        <f t="shared" ref="G379:K379" si="391">SUM(G380:G386)</f>
        <v>0.49262176896306548</v>
      </c>
      <c r="H379" s="1">
        <f t="shared" si="391"/>
        <v>1.1820573747071734</v>
      </c>
      <c r="I379" s="1">
        <f t="shared" si="391"/>
        <v>2.5941884113595179</v>
      </c>
      <c r="J379" s="1">
        <f t="shared" si="391"/>
        <v>3.3519190623384616</v>
      </c>
      <c r="K379" s="1">
        <f t="shared" si="391"/>
        <v>4.1227785189992767</v>
      </c>
      <c r="L379" s="1">
        <f t="shared" ref="L379" si="392">SUM(L380:L386)</f>
        <v>3.9520814425674051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0"/>
        <v>PJ/yr.</v>
      </c>
      <c r="F380" s="1">
        <f>IFERROR(F152/SUM(F152,F207),0)*'[1]Electricity and CHPs_IN'!B$25</f>
        <v>0.33858239479211616</v>
      </c>
      <c r="G380" s="1">
        <f>IFERROR(G152/SUM(G152,G207),0)*'[1]Electricity and CHPs_IN'!C$25</f>
        <v>3.9713609806644269E-2</v>
      </c>
      <c r="H380" s="1">
        <f>IFERROR(H152/SUM(H152,H207),0)*'[1]Electricity and CHPs_IN'!D$25</f>
        <v>1.6672897332881335E-3</v>
      </c>
      <c r="I380" s="1">
        <f>IFERROR(I152/SUM(I152,I207),0)*'[1]Electricity and CHPs_IN'!E$25</f>
        <v>1.0731898698781068</v>
      </c>
      <c r="J380" s="1">
        <f>IFERROR(J152/SUM(J152,J207),0)*'[2]Electricity and CHPs_IN'!F$25</f>
        <v>0.95574302361480901</v>
      </c>
      <c r="K380" s="1">
        <f>IFERROR(K152/SUM(K152,K207),0)*'[2]Electricity and CHPs_IN'!G$25</f>
        <v>0.9580146945189526</v>
      </c>
      <c r="L380" s="1">
        <f>IFERROR(L152/SUM(L152,L207),0)*'[2]Electricity and CHPs_IN'!H$25</f>
        <v>1.5490006377334347E-3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0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1.9577437558714795E-5</v>
      </c>
      <c r="L381" s="1">
        <f>'[2]Electricity and CHPs_IN'!H$31</f>
        <v>5.8992472237913914E-5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0"/>
        <v>PJ/yr.</v>
      </c>
      <c r="F382" s="1">
        <f>IFERROR(F154/SUM(F154,F283),0)*'[1]Electricity and CHPs_IN'!B$42</f>
        <v>0.18089218776598923</v>
      </c>
      <c r="G382" s="1">
        <f>IFERROR(G154/SUM(G154,G283),0)*'[1]Electricity and CHPs_IN'!C$42</f>
        <v>0.45290815915642119</v>
      </c>
      <c r="H382" s="1">
        <f>IFERROR(H154/SUM(H154,H283),0)*'[1]Electricity and CHPs_IN'!D$42</f>
        <v>1.1803900849738853</v>
      </c>
      <c r="I382" s="1">
        <f>IFERROR(I154/SUM(I154,I283),0)*'[1]Electricity and CHPs_IN'!E$42</f>
        <v>1.5209985414814113</v>
      </c>
      <c r="J382" s="1">
        <f>IFERROR(J154/SUM(J154,J283),0)*'[2]Electricity and CHPs_IN'!F$42</f>
        <v>2.3951105445076881</v>
      </c>
      <c r="K382" s="1">
        <f>IFERROR(K154/SUM(K154,K283),0)*'[2]Electricity and CHPs_IN'!G$42</f>
        <v>3.1641687547544963</v>
      </c>
      <c r="L382" s="1">
        <f>IFERROR(L154/SUM(L154,L283),0)*'[2]Electricity and CHPs_IN'!H$42</f>
        <v>3.9495528271754665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0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0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0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2.8288320358487438E-4</v>
      </c>
      <c r="K384" s="1">
        <f>IFERROR(K156/SUM(K285,K156),0)*'[2]Electricity and CHPs_IN'!G$50</f>
        <v>1.8336983777980285E-4</v>
      </c>
      <c r="L384" s="1">
        <f>IFERROR(L156/SUM(L285,L156),0)*'[2]Electricity and CHPs_IN'!H$50</f>
        <v>2.566876900963238E-4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0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4.8032584231089115E-4</v>
      </c>
      <c r="K385" s="1">
        <f>IFERROR(K157/SUM(K286,K157),0)*'[2]Electricity and CHPs_IN'!G$53</f>
        <v>2.3579085610937051E-4</v>
      </c>
      <c r="L385" s="1">
        <f>IFERROR(L157/SUM(L286,L157),0)*'[2]Electricity and CHPs_IN'!H$53</f>
        <v>5.1886645337693624E-4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0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3.0228517006858461E-4</v>
      </c>
      <c r="K386" s="1">
        <f>IFERROR(K158/SUM(K287,K158),0)*'[2]Electricity and CHPs_IN'!G$56</f>
        <v>1.5633159437974267E-4</v>
      </c>
      <c r="L386" s="1">
        <f>IFERROR(L158/SUM(L287,L158),0)*'[2]Electricity and CHPs_IN'!H$56</f>
        <v>1.4506813849366552E-4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0"/>
        <v>PJ/yr.</v>
      </c>
      <c r="F387" s="1">
        <f>F388</f>
        <v>0.52400000000000047</v>
      </c>
      <c r="G387" s="1">
        <f t="shared" ref="G387:L387" si="393">G388</f>
        <v>0.54529210298713582</v>
      </c>
      <c r="H387" s="1">
        <f t="shared" si="393"/>
        <v>0.50316470132068525</v>
      </c>
      <c r="I387" s="1">
        <f t="shared" si="393"/>
        <v>2.0502622389415159</v>
      </c>
      <c r="J387" s="1">
        <f t="shared" si="393"/>
        <v>0.87543233236874141</v>
      </c>
      <c r="K387" s="1">
        <f t="shared" si="393"/>
        <v>0.87543265782720092</v>
      </c>
      <c r="L387" s="1">
        <f t="shared" si="393"/>
        <v>0.8754315673080405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0"/>
        <v>PJ/yr.</v>
      </c>
      <c r="F388" s="1">
        <f>'[1]Electricity and CHPs_IN'!B$33</f>
        <v>0.52400000000000047</v>
      </c>
      <c r="G388" s="1">
        <f>'[1]Electricity and CHPs_IN'!C$33</f>
        <v>0.54529210298713582</v>
      </c>
      <c r="H388" s="1">
        <f>'[1]Electricity and CHPs_IN'!D$33</f>
        <v>0.50316470132068525</v>
      </c>
      <c r="I388" s="1">
        <f>'[1]Electricity and CHPs_IN'!E$33</f>
        <v>2.0502622389415159</v>
      </c>
      <c r="J388" s="1">
        <f>'[2]Electricity and CHPs_IN'!F$33</f>
        <v>0.87543233236874141</v>
      </c>
      <c r="K388" s="1">
        <f>'[2]Electricity and CHPs_IN'!G$33</f>
        <v>0.87543265782720092</v>
      </c>
      <c r="L388" s="1">
        <f>'[2]Electricity and CHPs_IN'!H$33</f>
        <v>0.8754315673080405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0"/>
        <v>PJ/yr.</v>
      </c>
      <c r="F389" s="1">
        <f>SUM(F390:F394)</f>
        <v>9.3550000000000111</v>
      </c>
      <c r="G389" s="1">
        <f t="shared" ref="G389:K389" si="394">SUM(G390:G394)</f>
        <v>12.821350215597745</v>
      </c>
      <c r="H389" s="1">
        <f t="shared" si="394"/>
        <v>28.80000326476668</v>
      </c>
      <c r="I389" s="1">
        <f t="shared" si="394"/>
        <v>38.961031099395207</v>
      </c>
      <c r="J389" s="1">
        <f t="shared" si="394"/>
        <v>32.886034669085973</v>
      </c>
      <c r="K389" s="1">
        <f t="shared" si="394"/>
        <v>34.599760551437797</v>
      </c>
      <c r="L389" s="1">
        <f t="shared" ref="L389" si="395">SUM(L390:L394)</f>
        <v>38.085701895159474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0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0.14080626641931424</v>
      </c>
      <c r="I390" s="1">
        <f>'[1]Electricity and CHPs_IN'!E34</f>
        <v>0.57934225734925171</v>
      </c>
      <c r="J390" s="1">
        <f>'[2]Electricity and CHPs_IN'!F34</f>
        <v>0.23924282715248987</v>
      </c>
      <c r="K390" s="1">
        <f>'[2]Electricity and CHPs_IN'!G34</f>
        <v>0.23948049740786972</v>
      </c>
      <c r="L390" s="1">
        <f>'[2]Electricity and CHPs_IN'!H34</f>
        <v>2.2557570964643638E-2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0"/>
        <v>PJ/yr.</v>
      </c>
      <c r="F391" s="1">
        <f>'[1]Electricity and CHPs_IN'!B35</f>
        <v>3.517953999707534</v>
      </c>
      <c r="G391" s="1">
        <f>'[1]Electricity and CHPs_IN'!C35</f>
        <v>4.8486222706482938</v>
      </c>
      <c r="H391" s="1">
        <f>'[1]Electricity and CHPs_IN'!D35</f>
        <v>11.161492733716585</v>
      </c>
      <c r="I391" s="1">
        <f>'[1]Electricity and CHPs_IN'!E35</f>
        <v>19.477109007315924</v>
      </c>
      <c r="J391" s="1">
        <f>'[2]Electricity and CHPs_IN'!F35</f>
        <v>12.732508415673539</v>
      </c>
      <c r="K391" s="1">
        <f>'[2]Electricity and CHPs_IN'!G35</f>
        <v>13.381994452594038</v>
      </c>
      <c r="L391" s="1">
        <f>'[2]Electricity and CHPs_IN'!H35</f>
        <v>14.782047109859183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0"/>
        <v>PJ/yr.</v>
      </c>
      <c r="F392" s="1">
        <f>'[1]Electricity and CHPs_IN'!B36</f>
        <v>2.1349390887346629</v>
      </c>
      <c r="G392" s="1">
        <f>'[1]Electricity and CHPs_IN'!C36</f>
        <v>3.3906769249173712</v>
      </c>
      <c r="H392" s="1">
        <f>'[1]Electricity and CHPs_IN'!D36</f>
        <v>4.0409717607174107</v>
      </c>
      <c r="I392" s="1">
        <f>'[1]Electricity and CHPs_IN'!E36</f>
        <v>4.3446264915594917</v>
      </c>
      <c r="J392" s="1">
        <f>'[2]Electricity and CHPs_IN'!F36</f>
        <v>4.6112489399037866</v>
      </c>
      <c r="K392" s="1">
        <f>'[2]Electricity and CHPs_IN'!G36</f>
        <v>4.8946423703026545</v>
      </c>
      <c r="L392" s="1">
        <f>'[2]Electricity and CHPs_IN'!H36</f>
        <v>5.5147490394225933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0"/>
        <v>PJ/yr.</v>
      </c>
      <c r="F393" s="1">
        <f>'[1]Electricity and CHPs_IN'!B37</f>
        <v>0.86248322578584768</v>
      </c>
      <c r="G393" s="1">
        <f>'[1]Electricity and CHPs_IN'!C37</f>
        <v>1.2875959332939062</v>
      </c>
      <c r="H393" s="1">
        <f>'[1]Electricity and CHPs_IN'!D37</f>
        <v>3.4901269439935434</v>
      </c>
      <c r="I393" s="1">
        <f>'[1]Electricity and CHPs_IN'!E37</f>
        <v>3.822219782981545</v>
      </c>
      <c r="J393" s="1">
        <f>'[2]Electricity and CHPs_IN'!F37</f>
        <v>4.0175690974435092</v>
      </c>
      <c r="K393" s="1">
        <f>'[2]Electricity and CHPs_IN'!G37</f>
        <v>4.2225056370941676</v>
      </c>
      <c r="L393" s="1">
        <f>'[2]Electricity and CHPs_IN'!H37</f>
        <v>4.6642732180146895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0"/>
        <v>PJ/yr.</v>
      </c>
      <c r="F394" s="1">
        <f>'[1]Electricity and CHPs_IN'!B38</f>
        <v>2.8396236857719668</v>
      </c>
      <c r="G394" s="1">
        <f>'[1]Electricity and CHPs_IN'!C38</f>
        <v>3.2944550867381746</v>
      </c>
      <c r="H394" s="1">
        <f>'[1]Electricity and CHPs_IN'!D38</f>
        <v>9.966605559919822</v>
      </c>
      <c r="I394" s="1">
        <f>'[1]Electricity and CHPs_IN'!E38</f>
        <v>10.737733560188992</v>
      </c>
      <c r="J394" s="1">
        <f>'[2]Electricity and CHPs_IN'!F38</f>
        <v>11.285465388912652</v>
      </c>
      <c r="K394" s="1">
        <f>'[2]Electricity and CHPs_IN'!G38</f>
        <v>11.861137594039064</v>
      </c>
      <c r="L394" s="1">
        <f>'[2]Electricity and CHPs_IN'!H38</f>
        <v>13.102074956898365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0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0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8.5364299234250737E-4</v>
      </c>
      <c r="L396" s="1">
        <f>'[2]Electricity and CHPs_IN'!H$32</f>
        <v>4.4291736623050578E-3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0"/>
        <v>PJ/yr.</v>
      </c>
      <c r="F397" s="1">
        <f t="shared" ref="F397" si="396">SUM(F398:F400)</f>
        <v>0</v>
      </c>
      <c r="G397" s="1">
        <f t="shared" ref="G397" si="397">SUM(G398:G400)</f>
        <v>0</v>
      </c>
      <c r="H397" s="1">
        <f t="shared" ref="H397" si="398">SUM(H398:H400)</f>
        <v>0</v>
      </c>
      <c r="I397" s="1">
        <f t="shared" ref="I397" si="399">SUM(I398:I400)</f>
        <v>0</v>
      </c>
      <c r="J397" s="1">
        <f t="shared" ref="J397" si="400">SUM(J398:J400)</f>
        <v>0</v>
      </c>
      <c r="K397" s="1">
        <f t="shared" ref="K397:L397" si="401">SUM(K398:K400)</f>
        <v>0</v>
      </c>
      <c r="L397" s="1">
        <f t="shared" si="401"/>
        <v>0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0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</v>
      </c>
      <c r="L398" s="1">
        <f>IFERROR(L170/SUM(L170,L209),0)*'[2]Electricity and CHPs_IN'!H$30</f>
        <v>0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0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0</v>
      </c>
      <c r="K399" s="1">
        <f>IFERROR(K171/SUM(K171,K289),0)*'[2]Electricity and CHPs_IN'!G$46</f>
        <v>0</v>
      </c>
      <c r="L399" s="1">
        <f>IFERROR(L171/SUM(L171,L289),0)*'[2]Electricity and CHPs_IN'!H$46</f>
        <v>0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0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0</v>
      </c>
      <c r="K400" s="1">
        <f>IFERROR(K172/SUM(K172,K290),0)*'[2]Electricity and CHPs_IN'!G$57</f>
        <v>0</v>
      </c>
      <c r="L400" s="1">
        <f>IFERROR(L172/SUM(L172,L290),0)*'[2]Electricity and CHPs_IN'!H$57</f>
        <v>0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0"/>
        <v>PJ/yr.</v>
      </c>
      <c r="F401" s="1">
        <f>SUM(F402:F408)</f>
        <v>0.14052433537532469</v>
      </c>
      <c r="G401" s="1">
        <f t="shared" ref="G401:K401" si="402">SUM(G402:G408)</f>
        <v>1.0502268189006039E-2</v>
      </c>
      <c r="H401" s="1">
        <f t="shared" si="402"/>
        <v>0.69084011584122051</v>
      </c>
      <c r="I401" s="1">
        <f t="shared" si="402"/>
        <v>0.57628837099012653</v>
      </c>
      <c r="J401" s="1">
        <f t="shared" si="402"/>
        <v>0.29950672937035633</v>
      </c>
      <c r="K401" s="1">
        <f t="shared" si="402"/>
        <v>4.8371026693338717E-2</v>
      </c>
      <c r="L401" s="1">
        <f t="shared" ref="L401" si="403">SUM(L402:L408)</f>
        <v>0.51684818102741303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0"/>
        <v>PJ/yr.</v>
      </c>
      <c r="F402" s="1">
        <f>'[1]Electricity and CHPs_IN'!B63</f>
        <v>0.13502546585350092</v>
      </c>
      <c r="G402" s="1">
        <f>'[1]Electricity and CHPs_IN'!C63</f>
        <v>5.7261980877209738E-3</v>
      </c>
      <c r="H402" s="1">
        <f>'[1]Electricity and CHPs_IN'!D63</f>
        <v>2.7989845055682534E-2</v>
      </c>
      <c r="I402" s="1">
        <f>'[1]Electricity and CHPs_IN'!E63</f>
        <v>3.1390657413825677E-2</v>
      </c>
      <c r="J402" s="1">
        <f>'[2]Electricity and CHPs_IN'!F63</f>
        <v>4.6706604905236344E-4</v>
      </c>
      <c r="K402" s="1">
        <f>'[2]Electricity and CHPs_IN'!G63</f>
        <v>2.0360969127186776E-4</v>
      </c>
      <c r="L402" s="1">
        <f>'[2]Electricity and CHPs_IN'!H63</f>
        <v>4.833723737155549E-4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0"/>
        <v>PJ/yr.</v>
      </c>
      <c r="F403" s="1">
        <f>'[1]Electricity and CHPs_IN'!B64</f>
        <v>1.5438967366048877E-3</v>
      </c>
      <c r="G403" s="1">
        <f>'[1]Electricity and CHPs_IN'!C64</f>
        <v>1.1547766018546127E-3</v>
      </c>
      <c r="H403" s="1">
        <f>'[1]Electricity and CHPs_IN'!D64</f>
        <v>1.996437563908468E-2</v>
      </c>
      <c r="I403" s="1">
        <f>'[1]Electricity and CHPs_IN'!E64</f>
        <v>5.0477852928681892E-2</v>
      </c>
      <c r="J403" s="1">
        <f>'[2]Electricity and CHPs_IN'!F64</f>
        <v>6.4542474168089682E-3</v>
      </c>
      <c r="K403" s="1">
        <f>'[2]Electricity and CHPs_IN'!G64</f>
        <v>6.4572091432789852E-3</v>
      </c>
      <c r="L403" s="1">
        <f>'[2]Electricity and CHPs_IN'!H64</f>
        <v>6.2236063805168863E-2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0"/>
        <v>PJ/yr.</v>
      </c>
      <c r="F404" s="1">
        <f>'[1]Electricity and CHPs_IN'!B65</f>
        <v>1.3378216471674805E-3</v>
      </c>
      <c r="G404" s="1">
        <f>'[1]Electricity and CHPs_IN'!C65</f>
        <v>1.0223605512423516E-3</v>
      </c>
      <c r="H404" s="1">
        <f>'[1]Electricity and CHPs_IN'!D65</f>
        <v>1.8553665626403881E-2</v>
      </c>
      <c r="I404" s="1">
        <f>'[1]Electricity and CHPs_IN'!E65</f>
        <v>3.716286138491675E-2</v>
      </c>
      <c r="J404" s="1">
        <f>'[2]Electricity and CHPs_IN'!F65</f>
        <v>1.8070313839190826E-2</v>
      </c>
      <c r="K404" s="1">
        <f>'[2]Electricity and CHPs_IN'!G65</f>
        <v>2.9843251957541619E-3</v>
      </c>
      <c r="L404" s="1">
        <f>'[2]Electricity and CHPs_IN'!H65</f>
        <v>2.8346111264197022E-2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0"/>
        <v>PJ/yr.</v>
      </c>
      <c r="F405" s="1">
        <f>'[1]Electricity and CHPs_IN'!B66</f>
        <v>4.3815987883659603E-4</v>
      </c>
      <c r="G405" s="1">
        <f>'[1]Electricity and CHPs_IN'!C66</f>
        <v>4.369092048283886E-4</v>
      </c>
      <c r="H405" s="1">
        <f>'[1]Electricity and CHPs_IN'!D66</f>
        <v>0.12259288657356644</v>
      </c>
      <c r="I405" s="1">
        <f>'[1]Electricity and CHPs_IN'!E66</f>
        <v>0.22079967206576276</v>
      </c>
      <c r="J405" s="1">
        <f>'[2]Electricity and CHPs_IN'!F66</f>
        <v>6.6501027492663192E-2</v>
      </c>
      <c r="K405" s="1">
        <f>'[2]Electricity and CHPs_IN'!G66</f>
        <v>8.4689984642919245E-3</v>
      </c>
      <c r="L405" s="1">
        <f>'[2]Electricity and CHPs_IN'!H66</f>
        <v>0.10303820521762622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0"/>
        <v>PJ/yr.</v>
      </c>
      <c r="F406" s="1">
        <f>'[1]Electricity and CHPs_IN'!B67</f>
        <v>8.7669170069212354E-4</v>
      </c>
      <c r="G406" s="1">
        <f>'[1]Electricity and CHPs_IN'!C67</f>
        <v>8.6982497537758702E-4</v>
      </c>
      <c r="H406" s="1">
        <f>'[1]Electricity and CHPs_IN'!D67</f>
        <v>0.22134744473586326</v>
      </c>
      <c r="I406" s="1">
        <f>'[1]Electricity and CHPs_IN'!E67</f>
        <v>9.7279571470471379E-2</v>
      </c>
      <c r="J406" s="1">
        <f>'[2]Electricity and CHPs_IN'!F67</f>
        <v>8.2160658036914497E-2</v>
      </c>
      <c r="K406" s="1">
        <f>'[2]Electricity and CHPs_IN'!G67</f>
        <v>5.4760504483667739E-3</v>
      </c>
      <c r="L406" s="1">
        <f>'[2]Electricity and CHPs_IN'!H67</f>
        <v>0.12449930288499605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0"/>
        <v>PJ/yr.</v>
      </c>
      <c r="F407" s="1">
        <f>'[1]Electricity and CHPs_IN'!B68</f>
        <v>8.6006011379185197E-4</v>
      </c>
      <c r="G407" s="1">
        <f>'[1]Electricity and CHPs_IN'!C68</f>
        <v>8.5324612022760543E-4</v>
      </c>
      <c r="H407" s="1">
        <f>'[1]Electricity and CHPs_IN'!D68</f>
        <v>6.7898156586768038E-2</v>
      </c>
      <c r="I407" s="1">
        <f>'[1]Electricity and CHPs_IN'!E68</f>
        <v>3.517385524158452E-2</v>
      </c>
      <c r="J407" s="1">
        <f>'[2]Electricity and CHPs_IN'!F68</f>
        <v>3.1212793721081829E-2</v>
      </c>
      <c r="K407" s="1">
        <f>'[2]Electricity and CHPs_IN'!G68</f>
        <v>4.8860027021013913E-3</v>
      </c>
      <c r="L407" s="1">
        <f>'[2]Electricity and CHPs_IN'!H68</f>
        <v>4.7113120130550926E-2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0"/>
        <v>PJ/yr.</v>
      </c>
      <c r="F408" s="1">
        <f>'[1]Electricity and CHPs_IN'!B69</f>
        <v>4.4223944473081438E-4</v>
      </c>
      <c r="G408" s="1">
        <f>'[1]Electricity and CHPs_IN'!C69</f>
        <v>4.3895264775452032E-4</v>
      </c>
      <c r="H408" s="1">
        <f>'[1]Electricity and CHPs_IN'!D69</f>
        <v>0.21249374162385173</v>
      </c>
      <c r="I408" s="1">
        <f>'[1]Electricity and CHPs_IN'!E69</f>
        <v>0.10400390048488352</v>
      </c>
      <c r="J408" s="1">
        <f>'[2]Electricity and CHPs_IN'!F69</f>
        <v>9.4640622814644679E-2</v>
      </c>
      <c r="K408" s="1">
        <f>'[2]Electricity and CHPs_IN'!G69</f>
        <v>1.9894831048273613E-2</v>
      </c>
      <c r="L408" s="1">
        <f>'[2]Electricity and CHPs_IN'!H69</f>
        <v>0.15113200535115834</v>
      </c>
      <c r="N408" s="1"/>
    </row>
    <row r="409" spans="1:19" x14ac:dyDescent="0.35">
      <c r="A409" s="5"/>
      <c r="B409" s="9" t="str">
        <f t="shared" ref="B409:C409" si="404">B408</f>
        <v>SPS1</v>
      </c>
      <c r="C409" s="2" t="str">
        <f t="shared" si="404"/>
        <v>CH</v>
      </c>
      <c r="D409" s="2" t="s">
        <v>190</v>
      </c>
      <c r="E409" s="2" t="str">
        <f>E397</f>
        <v>PJ/yr.</v>
      </c>
      <c r="F409" s="3">
        <f>F410+F463</f>
        <v>55.796306980856201</v>
      </c>
      <c r="G409" s="3">
        <f t="shared" ref="G409:K409" si="405">G410+G463</f>
        <v>54.769809498730346</v>
      </c>
      <c r="H409" s="3">
        <f t="shared" si="405"/>
        <v>49.864817581926886</v>
      </c>
      <c r="I409" s="3">
        <f>IFERROR(I410+I463,0)</f>
        <v>54.50383121038648</v>
      </c>
      <c r="J409" s="3">
        <f t="shared" si="405"/>
        <v>62.444734525767615</v>
      </c>
      <c r="K409" s="3">
        <f t="shared" si="405"/>
        <v>63.664104545705413</v>
      </c>
      <c r="L409" s="3">
        <f t="shared" ref="L409" si="406">L410+L463</f>
        <v>52.278726595366543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7">F411+F440</f>
        <v>47.911913831594653</v>
      </c>
      <c r="G410" s="1">
        <f t="shared" si="407"/>
        <v>46.251252157282366</v>
      </c>
      <c r="H410" s="1">
        <f t="shared" si="407"/>
        <v>43.122418780753975</v>
      </c>
      <c r="I410" s="1">
        <f t="shared" si="407"/>
        <v>47.009995438906039</v>
      </c>
      <c r="J410" s="1">
        <f t="shared" si="407"/>
        <v>44.644534493691957</v>
      </c>
      <c r="K410" s="1">
        <f t="shared" si="407"/>
        <v>44.731136390144712</v>
      </c>
      <c r="L410" s="1">
        <f t="shared" ref="L410" si="408">L411+L440</f>
        <v>40.431024720675588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39.949873373645715</v>
      </c>
      <c r="G411" s="1">
        <f t="shared" ref="G411:K411" si="409">SUM(G412,G418,G427,G436,G438)</f>
        <v>34.932499435612741</v>
      </c>
      <c r="H411" s="1">
        <f t="shared" si="409"/>
        <v>32.980840071689087</v>
      </c>
      <c r="I411" s="1">
        <f t="shared" si="409"/>
        <v>37.259509368178257</v>
      </c>
      <c r="J411" s="1">
        <f t="shared" si="409"/>
        <v>36.001555826195691</v>
      </c>
      <c r="K411" s="1">
        <f t="shared" si="409"/>
        <v>35.732388312408844</v>
      </c>
      <c r="L411" s="1">
        <f t="shared" ref="L411" si="410">SUM(L412,L418,L427,L436,L438)</f>
        <v>33.438851156746601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1.528443628595838E-2</v>
      </c>
      <c r="G412" s="1">
        <f t="shared" ref="G412:L412" si="411">G413</f>
        <v>9.0223605583627067E-4</v>
      </c>
      <c r="H412" s="1">
        <f t="shared" si="411"/>
        <v>4.0689603336943421E-3</v>
      </c>
      <c r="I412" s="1">
        <f t="shared" si="411"/>
        <v>1.0394983073818687E-3</v>
      </c>
      <c r="J412" s="1">
        <f t="shared" si="411"/>
        <v>1.0059915634304435E-3</v>
      </c>
      <c r="K412" s="1">
        <f t="shared" si="411"/>
        <v>6.3628949610852401E-4</v>
      </c>
      <c r="L412" s="1">
        <f t="shared" si="411"/>
        <v>1.0069716958234192E-3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1.528443628595838E-2</v>
      </c>
      <c r="G413" s="1">
        <f>'[1]Electricity and CHPs_IN'!C$28-G300</f>
        <v>9.0223605583627067E-4</v>
      </c>
      <c r="H413" s="1">
        <f>'[1]Electricity and CHPs_IN'!D$28-H300</f>
        <v>4.0689603336943421E-3</v>
      </c>
      <c r="I413" s="1">
        <f>'[1]Electricity and CHPs_IN'!E$28-I300</f>
        <v>1.0394983073818687E-3</v>
      </c>
      <c r="J413" s="1">
        <f>'[2]Electricity and CHPs_IN'!F$28-J300</f>
        <v>1.0059915634304435E-3</v>
      </c>
      <c r="K413" s="1">
        <f>'[2]Electricity and CHPs_IN'!G$28-K300</f>
        <v>6.3628949610852401E-4</v>
      </c>
      <c r="L413" s="1">
        <f>'[2]Electricity and CHPs_IN'!H$28-L300</f>
        <v>1.0069716958234192E-3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1.528443628595838E-2</v>
      </c>
      <c r="G414" s="1">
        <f t="shared" ref="G414:L414" si="412">G415</f>
        <v>9.0223605583627067E-4</v>
      </c>
      <c r="H414" s="1">
        <f t="shared" si="412"/>
        <v>4.0689603336943421E-3</v>
      </c>
      <c r="I414" s="1">
        <f t="shared" si="412"/>
        <v>1.0394983073818687E-3</v>
      </c>
      <c r="J414" s="1">
        <f t="shared" si="412"/>
        <v>1.0059915634304435E-3</v>
      </c>
      <c r="K414" s="1">
        <f t="shared" si="412"/>
        <v>6.3628949610852401E-4</v>
      </c>
      <c r="L414" s="1">
        <f t="shared" si="412"/>
        <v>1.0069716958234192E-3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1.528443628595838E-2</v>
      </c>
      <c r="G415" s="1">
        <f t="shared" ref="G415:K415" si="413">G413-G417</f>
        <v>9.0223605583627067E-4</v>
      </c>
      <c r="H415" s="1">
        <f t="shared" si="413"/>
        <v>4.0689603336943421E-3</v>
      </c>
      <c r="I415" s="1">
        <f t="shared" si="413"/>
        <v>1.0394983073818687E-3</v>
      </c>
      <c r="J415" s="1">
        <f t="shared" si="413"/>
        <v>1.0059915634304435E-3</v>
      </c>
      <c r="K415" s="1">
        <f t="shared" si="413"/>
        <v>6.3628949610852401E-4</v>
      </c>
      <c r="L415" s="1">
        <f t="shared" ref="L415" si="414">L413-L417</f>
        <v>1.0069716958234192E-3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5">G417</f>
        <v>0</v>
      </c>
      <c r="H416" s="1">
        <f t="shared" si="415"/>
        <v>0</v>
      </c>
      <c r="I416" s="1">
        <f t="shared" si="415"/>
        <v>0</v>
      </c>
      <c r="J416" s="1">
        <f t="shared" si="415"/>
        <v>0</v>
      </c>
      <c r="K416" s="1">
        <f t="shared" si="415"/>
        <v>0</v>
      </c>
      <c r="L416" s="1">
        <f t="shared" si="415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6">IFERROR(G308/G300,0)*G413</f>
        <v>0</v>
      </c>
      <c r="H417" s="1">
        <f t="shared" si="416"/>
        <v>0</v>
      </c>
      <c r="I417" s="1">
        <f t="shared" si="416"/>
        <v>0</v>
      </c>
      <c r="J417" s="1">
        <f t="shared" si="416"/>
        <v>0</v>
      </c>
      <c r="K417" s="1">
        <f t="shared" si="416"/>
        <v>0</v>
      </c>
      <c r="L417" s="1">
        <f t="shared" ref="L417" si="417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2.3899602698928266</v>
      </c>
      <c r="G418" s="1">
        <f t="shared" ref="G418:K418" si="418">SUM(G419:G420)</f>
        <v>5.0952067950206514E-4</v>
      </c>
      <c r="H418" s="1">
        <f t="shared" si="418"/>
        <v>0.19434936092159005</v>
      </c>
      <c r="I418" s="1">
        <f t="shared" si="418"/>
        <v>2.2841377632142432E-2</v>
      </c>
      <c r="J418" s="1">
        <f t="shared" si="418"/>
        <v>4.2935807859559045E-3</v>
      </c>
      <c r="K418" s="1">
        <f t="shared" si="418"/>
        <v>9.5229293629572158E-3</v>
      </c>
      <c r="L418" s="1">
        <f t="shared" ref="L418" si="419">SUM(L419:L420)</f>
        <v>0.76984377836116091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2.3899602698928266</v>
      </c>
      <c r="G419" s="1">
        <f>'[1]Electricity and CHPs_IN'!C$24-G314</f>
        <v>5.0952067950206514E-4</v>
      </c>
      <c r="H419" s="1">
        <f>'[1]Electricity and CHPs_IN'!D$24-H314</f>
        <v>0.19434936092159005</v>
      </c>
      <c r="I419" s="1">
        <f>'[1]Electricity and CHPs_IN'!E$24-I314</f>
        <v>2.2841377632142432E-2</v>
      </c>
      <c r="J419" s="1">
        <f>'[2]Electricity and CHPs_IN'!F$24-J314</f>
        <v>4.2935807859559045E-3</v>
      </c>
      <c r="K419" s="1">
        <f>'[2]Electricity and CHPs_IN'!G$24-K314</f>
        <v>1.8565554663679171E-3</v>
      </c>
      <c r="L419" s="1">
        <f>'[2]Electricity and CHPs_IN'!H$24-L314</f>
        <v>3.5941725223417797E-3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7.6663738965892982E-3</v>
      </c>
      <c r="L420" s="1">
        <f>'[2]Electricity and CHPs_IN'!H$29-L315</f>
        <v>0.76624960583881918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2.3290650031586666</v>
      </c>
      <c r="G421" s="1">
        <f t="shared" ref="G421:K421" si="420">SUM(G422:G423)</f>
        <v>4.9454882743411302E-4</v>
      </c>
      <c r="H421" s="1">
        <f t="shared" si="420"/>
        <v>0.17817852248958754</v>
      </c>
      <c r="I421" s="1">
        <f t="shared" si="420"/>
        <v>1.978391870021216E-2</v>
      </c>
      <c r="J421" s="1">
        <f t="shared" si="420"/>
        <v>4.2441122708806733E-3</v>
      </c>
      <c r="K421" s="1">
        <f t="shared" si="420"/>
        <v>9.4760328864179691E-3</v>
      </c>
      <c r="L421" s="1">
        <f t="shared" ref="L421" si="421">SUM(L422:L423)</f>
        <v>0.76587546627217296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2.3290650031586666</v>
      </c>
      <c r="G422" s="1">
        <f t="shared" ref="G422:K422" si="422">G419-G425</f>
        <v>4.9454882743411302E-4</v>
      </c>
      <c r="H422" s="1">
        <f t="shared" si="422"/>
        <v>0.17817852248958754</v>
      </c>
      <c r="I422" s="1">
        <f t="shared" si="422"/>
        <v>1.978391870021216E-2</v>
      </c>
      <c r="J422" s="1">
        <f t="shared" si="422"/>
        <v>4.2441122708806733E-3</v>
      </c>
      <c r="K422" s="1">
        <f t="shared" si="422"/>
        <v>1.8474127008853748E-3</v>
      </c>
      <c r="L422" s="1">
        <f t="shared" ref="L422" si="423">L419-L425</f>
        <v>3.5756456488757371E-3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4">G420-G426</f>
        <v>0</v>
      </c>
      <c r="H423" s="1">
        <f t="shared" si="424"/>
        <v>0</v>
      </c>
      <c r="I423" s="1">
        <f t="shared" si="424"/>
        <v>0</v>
      </c>
      <c r="J423" s="1">
        <f t="shared" si="424"/>
        <v>0</v>
      </c>
      <c r="K423" s="1">
        <f t="shared" si="424"/>
        <v>7.6286201855325936E-3</v>
      </c>
      <c r="L423" s="1">
        <f t="shared" ref="L423" si="425">L420-L426</f>
        <v>0.76229982062329726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6.0895266734160007E-2</v>
      </c>
      <c r="G424" s="1">
        <f t="shared" ref="G424:K424" si="426">SUM(G425:G426)</f>
        <v>1.4971852067952166E-5</v>
      </c>
      <c r="H424" s="1">
        <f t="shared" si="426"/>
        <v>1.617083843200251E-2</v>
      </c>
      <c r="I424" s="1">
        <f t="shared" si="426"/>
        <v>3.0574589319302702E-3</v>
      </c>
      <c r="J424" s="1">
        <f t="shared" si="426"/>
        <v>4.9468515075231498E-5</v>
      </c>
      <c r="K424" s="1">
        <f t="shared" si="426"/>
        <v>4.6896476539246702E-5</v>
      </c>
      <c r="L424" s="1">
        <f t="shared" ref="L424" si="427">SUM(L425:L426)</f>
        <v>3.9683120889879358E-3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6.0895266734160007E-2</v>
      </c>
      <c r="G425" s="1">
        <f t="shared" ref="G425:K425" si="428">IFERROR(G346/G314,0)*G419</f>
        <v>1.4971852067952166E-5</v>
      </c>
      <c r="H425" s="1">
        <f t="shared" si="428"/>
        <v>1.617083843200251E-2</v>
      </c>
      <c r="I425" s="1">
        <f t="shared" si="428"/>
        <v>3.0574589319302702E-3</v>
      </c>
      <c r="J425" s="1">
        <f t="shared" si="428"/>
        <v>4.9468515075231498E-5</v>
      </c>
      <c r="K425" s="1">
        <f t="shared" si="428"/>
        <v>9.1427654825423432E-6</v>
      </c>
      <c r="L425" s="1">
        <f t="shared" ref="L425" si="429">IFERROR(L346/L314,0)*L419</f>
        <v>1.8526873466042522E-5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0">IFERROR(G347/G315,0)*G420</f>
        <v>0</v>
      </c>
      <c r="H426" s="1">
        <f t="shared" si="430"/>
        <v>0</v>
      </c>
      <c r="I426" s="1">
        <f t="shared" si="430"/>
        <v>0</v>
      </c>
      <c r="J426" s="1">
        <f t="shared" si="430"/>
        <v>0</v>
      </c>
      <c r="K426" s="1">
        <f t="shared" si="430"/>
        <v>3.7753711056704357E-5</v>
      </c>
      <c r="L426" s="1">
        <f t="shared" ref="L426" si="431">IFERROR(L347/L315,0)*L420</f>
        <v>3.9497852155218937E-3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36.420434402025478</v>
      </c>
      <c r="G427" s="1">
        <f t="shared" ref="G427:K427" si="432">SUM(G428:G429)</f>
        <v>34.687799342362503</v>
      </c>
      <c r="H427" s="1">
        <f t="shared" si="432"/>
        <v>32.725966322081817</v>
      </c>
      <c r="I427" s="1">
        <f t="shared" si="432"/>
        <v>34.429018510811083</v>
      </c>
      <c r="J427" s="1">
        <f t="shared" si="432"/>
        <v>33.496802119326368</v>
      </c>
      <c r="K427" s="1">
        <f t="shared" si="432"/>
        <v>33.216836619590623</v>
      </c>
      <c r="L427" s="1">
        <f t="shared" ref="L427" si="433">SUM(L428:L429)</f>
        <v>32.613959232140729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36.420434402025478</v>
      </c>
      <c r="G428" s="1">
        <f>'[1]Electricity and CHPs_IN'!C$26-G361</f>
        <v>34.687799342362503</v>
      </c>
      <c r="H428" s="1">
        <f>'[1]Electricity and CHPs_IN'!D$26-H361</f>
        <v>32.725966322081817</v>
      </c>
      <c r="I428" s="1">
        <f>'[1]Electricity and CHPs_IN'!E$26-I361</f>
        <v>34.429018510811083</v>
      </c>
      <c r="J428" s="1">
        <f>'[2]Electricity and CHPs_IN'!F$26-J361</f>
        <v>33.496802119326368</v>
      </c>
      <c r="K428" s="1">
        <f>'[2]Electricity and CHPs_IN'!G$26-K361</f>
        <v>33.216836619590623</v>
      </c>
      <c r="L428" s="1">
        <f>'[2]Electricity and CHPs_IN'!H$26-L361</f>
        <v>32.613959232140729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0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18.210217201012743</v>
      </c>
      <c r="G430" s="1">
        <f t="shared" ref="G430:K430" si="434">SUM(G431:G432)</f>
        <v>17.343899671181251</v>
      </c>
      <c r="H430" s="1">
        <f t="shared" si="434"/>
        <v>16.362983161040908</v>
      </c>
      <c r="I430" s="1">
        <f t="shared" si="434"/>
        <v>17.214509255405542</v>
      </c>
      <c r="J430" s="1">
        <f t="shared" si="434"/>
        <v>16.748401059663184</v>
      </c>
      <c r="K430" s="1">
        <f t="shared" si="434"/>
        <v>16.608418309795312</v>
      </c>
      <c r="L430" s="1">
        <f t="shared" ref="L430" si="435">SUM(L431:L432)</f>
        <v>16.306979616070365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18.210217201012743</v>
      </c>
      <c r="G431" s="1">
        <f t="shared" ref="G431:K431" si="436">IFERROR(G368/G361,0)*G428</f>
        <v>17.343899671181251</v>
      </c>
      <c r="H431" s="1">
        <f t="shared" si="436"/>
        <v>16.362983161040908</v>
      </c>
      <c r="I431" s="1">
        <f t="shared" si="436"/>
        <v>17.214509255405542</v>
      </c>
      <c r="J431" s="1">
        <f t="shared" si="436"/>
        <v>16.748401059663184</v>
      </c>
      <c r="K431" s="1">
        <f t="shared" si="436"/>
        <v>16.608418309795312</v>
      </c>
      <c r="L431" s="1">
        <f t="shared" ref="L431" si="437">IFERROR(L368/L361,0)*L428</f>
        <v>16.306979616070365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8">IFERROR(G369/G362,0)*G429</f>
        <v>0</v>
      </c>
      <c r="H432" s="1">
        <f t="shared" si="438"/>
        <v>0</v>
      </c>
      <c r="I432" s="1">
        <f t="shared" si="438"/>
        <v>0</v>
      </c>
      <c r="J432" s="1">
        <f t="shared" si="438"/>
        <v>0</v>
      </c>
      <c r="K432" s="1">
        <f t="shared" si="438"/>
        <v>0</v>
      </c>
      <c r="L432" s="1">
        <f t="shared" ref="L432" si="439">IFERROR(L369/L362,0)*L429</f>
        <v>0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18.210217201012735</v>
      </c>
      <c r="G433" s="1">
        <f t="shared" ref="G433:K433" si="440">SUM(G434:G435)</f>
        <v>17.343899671181251</v>
      </c>
      <c r="H433" s="1">
        <f t="shared" si="440"/>
        <v>16.362983161040908</v>
      </c>
      <c r="I433" s="1">
        <f t="shared" si="440"/>
        <v>17.214509255405542</v>
      </c>
      <c r="J433" s="1">
        <f t="shared" si="440"/>
        <v>16.748401059663184</v>
      </c>
      <c r="K433" s="1">
        <f t="shared" si="440"/>
        <v>16.608418309795312</v>
      </c>
      <c r="L433" s="1">
        <f t="shared" ref="L433" si="441">SUM(L434:L435)</f>
        <v>16.306979616070365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18.210217201012735</v>
      </c>
      <c r="G434" s="1">
        <f t="shared" ref="G434:K434" si="442">G428-G431</f>
        <v>17.343899671181251</v>
      </c>
      <c r="H434" s="1">
        <f t="shared" si="442"/>
        <v>16.362983161040908</v>
      </c>
      <c r="I434" s="1">
        <f t="shared" si="442"/>
        <v>17.214509255405542</v>
      </c>
      <c r="J434" s="1">
        <f t="shared" si="442"/>
        <v>16.748401059663184</v>
      </c>
      <c r="K434" s="1">
        <f t="shared" si="442"/>
        <v>16.608418309795312</v>
      </c>
      <c r="L434" s="1">
        <f t="shared" ref="L434" si="443">L428-L431</f>
        <v>16.306979616070365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4">G429-G432</f>
        <v>0</v>
      </c>
      <c r="H435" s="1">
        <f t="shared" si="444"/>
        <v>0</v>
      </c>
      <c r="I435" s="1">
        <f t="shared" si="444"/>
        <v>0</v>
      </c>
      <c r="J435" s="1">
        <f t="shared" si="444"/>
        <v>0</v>
      </c>
      <c r="K435" s="1">
        <f t="shared" si="444"/>
        <v>0</v>
      </c>
      <c r="L435" s="1">
        <f t="shared" ref="L435" si="445">L429-L432</f>
        <v>0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1.1241942654414507</v>
      </c>
      <c r="G436" s="1">
        <f t="shared" ref="G436:L436" si="446">G437</f>
        <v>0.24328833651490175</v>
      </c>
      <c r="H436" s="1">
        <f t="shared" si="446"/>
        <v>5.6455428351986497E-2</v>
      </c>
      <c r="I436" s="1">
        <f t="shared" si="446"/>
        <v>2.8066099814276511</v>
      </c>
      <c r="J436" s="1">
        <f t="shared" si="446"/>
        <v>2.4994541345199393</v>
      </c>
      <c r="K436" s="1">
        <f t="shared" si="446"/>
        <v>2.5053924739591569</v>
      </c>
      <c r="L436" s="1">
        <f t="shared" si="446"/>
        <v>5.4041174548885428E-2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1.1241942654414507</v>
      </c>
      <c r="G437" s="1">
        <f>'[1]Electricity and CHPs_IN'!C$25-G380</f>
        <v>0.24328833651490175</v>
      </c>
      <c r="H437" s="1">
        <f>'[1]Electricity and CHPs_IN'!D$25-H380</f>
        <v>5.6455428351986497E-2</v>
      </c>
      <c r="I437" s="1">
        <f>'[1]Electricity and CHPs_IN'!E$25-I380</f>
        <v>2.8066099814276511</v>
      </c>
      <c r="J437" s="1">
        <f>'[2]Electricity and CHPs_IN'!F$25-J380</f>
        <v>2.4994541345199393</v>
      </c>
      <c r="K437" s="1">
        <f>'[2]Electricity and CHPs_IN'!G$25-K380</f>
        <v>2.5053924739591569</v>
      </c>
      <c r="L437" s="1">
        <f>'[2]Electricity and CHPs_IN'!H$25-L380</f>
        <v>5.4041174548885428E-2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7">+G439</f>
        <v>0</v>
      </c>
      <c r="H438" s="1">
        <f t="shared" si="447"/>
        <v>0</v>
      </c>
      <c r="I438" s="1">
        <f t="shared" si="447"/>
        <v>0</v>
      </c>
      <c r="J438" s="1">
        <f t="shared" si="447"/>
        <v>0</v>
      </c>
      <c r="K438" s="1">
        <f t="shared" si="447"/>
        <v>0</v>
      </c>
      <c r="L438" s="1">
        <f t="shared" si="447"/>
        <v>0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</v>
      </c>
      <c r="L439" s="1">
        <f>'[2]Electricity and CHPs_IN'!H$30-L398</f>
        <v>0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7.9620404579489401</v>
      </c>
      <c r="G440" s="1">
        <f t="shared" ref="G440:K440" si="448">SUM(G441,G447,G449,G455,G457,G459,G461)</f>
        <v>11.318752721669629</v>
      </c>
      <c r="H440" s="1">
        <f t="shared" si="448"/>
        <v>10.141578709064884</v>
      </c>
      <c r="I440" s="1">
        <f t="shared" si="448"/>
        <v>9.7504860707277814</v>
      </c>
      <c r="J440" s="1">
        <f t="shared" si="448"/>
        <v>8.6429786674962656</v>
      </c>
      <c r="K440" s="1">
        <f t="shared" si="448"/>
        <v>8.9987480777358666</v>
      </c>
      <c r="L440" s="1">
        <f t="shared" ref="L440" si="449">SUM(L441,L447,L449,L455,L457,L459,L461)</f>
        <v>6.9921735639289855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4.3959862688965536</v>
      </c>
      <c r="G441" s="1">
        <f t="shared" ref="G441:L441" si="450">+G442</f>
        <v>4.0832806779444564</v>
      </c>
      <c r="H441" s="1">
        <f t="shared" si="450"/>
        <v>3.3227005516382437</v>
      </c>
      <c r="I441" s="1">
        <f t="shared" si="450"/>
        <v>5.9174123087963189</v>
      </c>
      <c r="J441" s="1">
        <f t="shared" si="450"/>
        <v>5.1831910935421401</v>
      </c>
      <c r="K441" s="1">
        <f t="shared" si="450"/>
        <v>5.6141755231363044</v>
      </c>
      <c r="L441" s="1">
        <f t="shared" si="450"/>
        <v>4.2120180209669478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4.3959862688965536</v>
      </c>
      <c r="G442" s="1">
        <f t="shared" ref="G442:K442" si="451">SUM(G444:G446)</f>
        <v>4.0832806779444564</v>
      </c>
      <c r="H442" s="1">
        <f t="shared" si="451"/>
        <v>3.3227005516382437</v>
      </c>
      <c r="I442" s="1">
        <f t="shared" si="451"/>
        <v>5.9174123087963189</v>
      </c>
      <c r="J442" s="1">
        <f t="shared" si="451"/>
        <v>5.1831910935421401</v>
      </c>
      <c r="K442" s="1">
        <f t="shared" si="451"/>
        <v>5.6141755231363044</v>
      </c>
      <c r="L442" s="1">
        <f t="shared" ref="L442" si="452">SUM(L444:L446)</f>
        <v>4.2120180209669478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2.0280803701084138</v>
      </c>
      <c r="G443" s="1">
        <f t="shared" ref="G443:L443" si="453">G444</f>
        <v>1.7153793901806633</v>
      </c>
      <c r="H443" s="1">
        <f t="shared" si="453"/>
        <v>0.95479823649707263</v>
      </c>
      <c r="I443" s="1">
        <f t="shared" si="453"/>
        <v>3.549512150166287</v>
      </c>
      <c r="J443" s="1">
        <f t="shared" si="453"/>
        <v>2.815289618690735</v>
      </c>
      <c r="K443" s="1">
        <f t="shared" si="453"/>
        <v>3.2462751059961037</v>
      </c>
      <c r="L443" s="1">
        <f t="shared" si="453"/>
        <v>1.8441172966912833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2.0280803701084138</v>
      </c>
      <c r="G444" s="1">
        <f>'[1]Electricity and CHPs_IN'!C$90</f>
        <v>1.7153793901806633</v>
      </c>
      <c r="H444" s="1">
        <f>'[1]Electricity and CHPs_IN'!D$90</f>
        <v>0.95479823649707263</v>
      </c>
      <c r="I444" s="1">
        <f>'[1]Electricity and CHPs_IN'!E$90</f>
        <v>3.549512150166287</v>
      </c>
      <c r="J444" s="1">
        <f>'[2]Electricity and CHPs_IN'!F$90</f>
        <v>2.815289618690735</v>
      </c>
      <c r="K444" s="1">
        <f>'[2]Electricity and CHPs_IN'!G$90</f>
        <v>3.2462751059961037</v>
      </c>
      <c r="L444" s="1">
        <f>'[2]Electricity and CHPs_IN'!H$90</f>
        <v>1.8441172966912833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1.1839529493940701</v>
      </c>
      <c r="G445" s="1">
        <f t="shared" ref="G445:L445" si="454">G446</f>
        <v>1.1839506438818965</v>
      </c>
      <c r="H445" s="1">
        <f t="shared" si="454"/>
        <v>1.1839511575705857</v>
      </c>
      <c r="I445" s="1">
        <f t="shared" si="454"/>
        <v>1.1839500793150159</v>
      </c>
      <c r="J445" s="1">
        <f t="shared" si="454"/>
        <v>1.1839507374257026</v>
      </c>
      <c r="K445" s="1">
        <f t="shared" si="454"/>
        <v>1.1839502085701004</v>
      </c>
      <c r="L445" s="1">
        <f t="shared" si="454"/>
        <v>1.183950362137832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1.1839529493940701</v>
      </c>
      <c r="G446" s="1">
        <f>'[1]Electricity and CHPs_IN'!C$91</f>
        <v>1.1839506438818965</v>
      </c>
      <c r="H446" s="1">
        <f>'[1]Electricity and CHPs_IN'!D$91</f>
        <v>1.1839511575705857</v>
      </c>
      <c r="I446" s="1">
        <f>'[1]Electricity and CHPs_IN'!E$91</f>
        <v>1.1839500793150159</v>
      </c>
      <c r="J446" s="1">
        <f>'[2]Electricity and CHPs_IN'!F$91</f>
        <v>1.1839507374257026</v>
      </c>
      <c r="K446" s="1">
        <f>'[2]Electricity and CHPs_IN'!G$91</f>
        <v>1.1839502085701004</v>
      </c>
      <c r="L446" s="1">
        <f>'[2]Electricity and CHPs_IN'!H$91</f>
        <v>1.183950362137832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1.4500078789959512</v>
      </c>
      <c r="G447" s="1">
        <f t="shared" ref="G447:L447" si="455">G448</f>
        <v>3.8019175344714666</v>
      </c>
      <c r="H447" s="1">
        <f t="shared" si="455"/>
        <v>3.8014850482265414</v>
      </c>
      <c r="I447" s="1">
        <f t="shared" si="455"/>
        <v>1.0696417797971158</v>
      </c>
      <c r="J447" s="1">
        <f t="shared" si="455"/>
        <v>0.85637962630044373</v>
      </c>
      <c r="K447" s="1">
        <f t="shared" si="455"/>
        <v>0.85640405241991435</v>
      </c>
      <c r="L447" s="1">
        <f t="shared" si="455"/>
        <v>0.28137070514899742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1.4500078789959512</v>
      </c>
      <c r="G448" s="1">
        <f>'[1]Electricity and CHPs_IN'!C$92</f>
        <v>3.8019175344714666</v>
      </c>
      <c r="H448" s="1">
        <f>'[1]Electricity and CHPs_IN'!D$92</f>
        <v>3.8014850482265414</v>
      </c>
      <c r="I448" s="1">
        <f>'[1]Electricity and CHPs_IN'!E$92</f>
        <v>1.0696417797971158</v>
      </c>
      <c r="J448" s="1">
        <f>'[2]Electricity and CHPs_IN'!F$92</f>
        <v>0.85637962630044373</v>
      </c>
      <c r="K448" s="1">
        <f>'[2]Electricity and CHPs_IN'!G$92</f>
        <v>0.85640405241991435</v>
      </c>
      <c r="L448" s="1">
        <f>'[2]Electricity and CHPs_IN'!H$92</f>
        <v>0.28137070514899742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0.21542304531607956</v>
      </c>
      <c r="G449" s="1">
        <f t="shared" ref="G449:L449" si="456">G450</f>
        <v>0.21747532009533904</v>
      </c>
      <c r="H449" s="1">
        <f t="shared" si="456"/>
        <v>4.8650276723569011E-4</v>
      </c>
      <c r="I449" s="1">
        <f t="shared" si="456"/>
        <v>3.1683609116353893E-4</v>
      </c>
      <c r="J449" s="1">
        <f t="shared" si="456"/>
        <v>6.0825368494238251E-5</v>
      </c>
      <c r="K449" s="1">
        <f t="shared" si="456"/>
        <v>9.8795254879670719E-5</v>
      </c>
      <c r="L449" s="1">
        <f t="shared" si="456"/>
        <v>4.6907202252933134E-5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0.21542304531607956</v>
      </c>
      <c r="G450" s="1">
        <f>'[1]Electricity and CHPs_IN'!C$93</f>
        <v>0.21747532009533904</v>
      </c>
      <c r="H450" s="1">
        <f>'[1]Electricity and CHPs_IN'!D$93</f>
        <v>4.8650276723569011E-4</v>
      </c>
      <c r="I450" s="1">
        <f>'[1]Electricity and CHPs_IN'!E$93</f>
        <v>3.1683609116353893E-4</v>
      </c>
      <c r="J450" s="1">
        <f>'[2]Electricity and CHPs_IN'!F$93</f>
        <v>6.0825368494238251E-5</v>
      </c>
      <c r="K450" s="1">
        <f>'[2]Electricity and CHPs_IN'!G$93</f>
        <v>9.8795254879670719E-5</v>
      </c>
      <c r="L450" s="1">
        <f>'[2]Electricity and CHPs_IN'!H$93</f>
        <v>4.6907202252933134E-5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0.21542304531607956</v>
      </c>
      <c r="G451" s="1">
        <f t="shared" ref="G451:L451" si="457">G452</f>
        <v>0.21747532009533904</v>
      </c>
      <c r="H451" s="1">
        <f t="shared" si="457"/>
        <v>4.8650276723569011E-4</v>
      </c>
      <c r="I451" s="1">
        <f t="shared" si="457"/>
        <v>3.1683609116353893E-4</v>
      </c>
      <c r="J451" s="1">
        <f t="shared" si="457"/>
        <v>6.0825368494238251E-5</v>
      </c>
      <c r="K451" s="1">
        <f t="shared" si="457"/>
        <v>9.8795254879670719E-5</v>
      </c>
      <c r="L451" s="1">
        <f t="shared" si="457"/>
        <v>4.6907202252933134E-5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0.21542304531607956</v>
      </c>
      <c r="G452" s="1">
        <f t="shared" ref="G452:K452" si="458">G450</f>
        <v>0.21747532009533904</v>
      </c>
      <c r="H452" s="1">
        <f t="shared" si="458"/>
        <v>4.8650276723569011E-4</v>
      </c>
      <c r="I452" s="1">
        <f t="shared" si="458"/>
        <v>3.1683609116353893E-4</v>
      </c>
      <c r="J452" s="1">
        <f t="shared" si="458"/>
        <v>6.0825368494238251E-5</v>
      </c>
      <c r="K452" s="1">
        <f t="shared" si="458"/>
        <v>9.8795254879670719E-5</v>
      </c>
      <c r="L452" s="1">
        <f t="shared" ref="L452" si="459">L450</f>
        <v>4.6907202252933134E-5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0">G454</f>
        <v>0</v>
      </c>
      <c r="H453" s="1">
        <f t="shared" si="460"/>
        <v>0</v>
      </c>
      <c r="I453" s="1">
        <f t="shared" si="460"/>
        <v>0</v>
      </c>
      <c r="J453" s="1">
        <f t="shared" si="460"/>
        <v>0</v>
      </c>
      <c r="K453" s="1">
        <f t="shared" si="460"/>
        <v>0</v>
      </c>
      <c r="L453" s="1">
        <f t="shared" si="460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1.900623264740356</v>
      </c>
      <c r="G455" s="1">
        <f t="shared" ref="G455:L455" si="461">G456</f>
        <v>1.7153106222940671</v>
      </c>
      <c r="H455" s="1">
        <f t="shared" si="461"/>
        <v>1.4706632015381014</v>
      </c>
      <c r="I455" s="1">
        <f t="shared" si="461"/>
        <v>1.1379718905021399</v>
      </c>
      <c r="J455" s="1">
        <f t="shared" si="461"/>
        <v>0.75061094910986781</v>
      </c>
      <c r="K455" s="1">
        <f t="shared" si="461"/>
        <v>0.58080919554057953</v>
      </c>
      <c r="L455" s="1">
        <f t="shared" si="461"/>
        <v>0.34775373424345873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1.900623264740356</v>
      </c>
      <c r="G456" s="1">
        <f>'[1]Electricity and CHPs_IN'!C$94</f>
        <v>1.7153106222940671</v>
      </c>
      <c r="H456" s="1">
        <f>'[1]Electricity and CHPs_IN'!D$94</f>
        <v>1.4706632015381014</v>
      </c>
      <c r="I456" s="1">
        <f>'[1]Electricity and CHPs_IN'!E$94</f>
        <v>1.1379718905021399</v>
      </c>
      <c r="J456" s="1">
        <f>'[2]Electricity and CHPs_IN'!F$94</f>
        <v>0.75061094910986781</v>
      </c>
      <c r="K456" s="1">
        <f>'[2]Electricity and CHPs_IN'!G$94</f>
        <v>0.58080919554057953</v>
      </c>
      <c r="L456" s="1">
        <f>'[2]Electricity and CHPs_IN'!H$94</f>
        <v>0.34775373424345873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2">G458</f>
        <v>0</v>
      </c>
      <c r="H457" s="1">
        <f t="shared" si="462"/>
        <v>0</v>
      </c>
      <c r="I457" s="1">
        <f t="shared" si="462"/>
        <v>2.5868468216697036E-5</v>
      </c>
      <c r="J457" s="1">
        <f t="shared" si="462"/>
        <v>1.1846468968953503E-5</v>
      </c>
      <c r="K457" s="1">
        <f t="shared" si="462"/>
        <v>1.1848187567599875E-5</v>
      </c>
      <c r="L457" s="1">
        <f t="shared" si="462"/>
        <v>1.1984805904495118E-5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2.5868468216697036E-5</v>
      </c>
      <c r="J458" s="1">
        <f>'[2]Electricity and CHPs_IN'!F$95</f>
        <v>1.1846468968953503E-5</v>
      </c>
      <c r="K458" s="1">
        <f>'[2]Electricity and CHPs_IN'!G$95</f>
        <v>1.1848187567599875E-5</v>
      </c>
      <c r="L458" s="1">
        <f>'[2]Electricity and CHPs_IN'!H$95</f>
        <v>1.1984805904495118E-5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3">G460</f>
        <v>0</v>
      </c>
      <c r="H459" s="1">
        <f t="shared" si="463"/>
        <v>0</v>
      </c>
      <c r="I459" s="1">
        <f t="shared" si="463"/>
        <v>0</v>
      </c>
      <c r="J459" s="1">
        <f t="shared" si="463"/>
        <v>0</v>
      </c>
      <c r="K459" s="1">
        <f t="shared" si="463"/>
        <v>1.6802963053266823E-5</v>
      </c>
      <c r="L459" s="1">
        <f t="shared" si="463"/>
        <v>1.6848290606198463E-5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1.6802963053266823E-5</v>
      </c>
      <c r="L460" s="1">
        <f>'[2]Electricity and CHPs_IN'!H$96</f>
        <v>1.6848290606198463E-5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4">G462</f>
        <v>1.5007685668642978</v>
      </c>
      <c r="H461" s="1">
        <f>H462</f>
        <v>1.5462434048947613</v>
      </c>
      <c r="I461" s="1">
        <f t="shared" ref="I461" si="465">I462</f>
        <v>1.6251173870728275</v>
      </c>
      <c r="J461" s="1">
        <f t="shared" ref="J461" si="466">J462</f>
        <v>1.8527243267063493</v>
      </c>
      <c r="K461" s="1">
        <f t="shared" ref="K461:L461" si="467">K462</f>
        <v>1.9472318602335668</v>
      </c>
      <c r="L461" s="1">
        <f t="shared" si="467"/>
        <v>2.1509553632708176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1.5007685668642978</v>
      </c>
      <c r="H462" s="1">
        <f>'[1]Electricity and CHPs_IN'!D$97</f>
        <v>1.5462434048947613</v>
      </c>
      <c r="I462" s="1">
        <f>'[1]Electricity and CHPs_IN'!E$97</f>
        <v>1.6251173870728275</v>
      </c>
      <c r="J462" s="1">
        <f>'[2]Electricity and CHPs_IN'!F$97</f>
        <v>1.8527243267063493</v>
      </c>
      <c r="K462" s="1">
        <f>'[2]Electricity and CHPs_IN'!G$97</f>
        <v>1.9472318602335668</v>
      </c>
      <c r="L462" s="1">
        <f>'[2]Electricity and CHPs_IN'!H$97</f>
        <v>2.1509553632708176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7.8843931492615464</v>
      </c>
      <c r="G463" s="1">
        <f t="shared" ref="G463:K463" si="468">SUM(G464,G470,G503,G512,G518)</f>
        <v>8.5185573414479805</v>
      </c>
      <c r="H463" s="1">
        <f t="shared" si="468"/>
        <v>6.7423988011729135</v>
      </c>
      <c r="I463" s="1">
        <f>IFERROR(SUM(I464,I470,I503,I512,I518),0)</f>
        <v>7.4938357714804376</v>
      </c>
      <c r="J463" s="1">
        <f t="shared" si="468"/>
        <v>17.800200032075658</v>
      </c>
      <c r="K463" s="1">
        <f t="shared" si="468"/>
        <v>18.932968155560705</v>
      </c>
      <c r="L463" s="1">
        <f t="shared" ref="L463" si="469">SUM(L464,L470,L503,L512,L518)</f>
        <v>11.847701874690957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0.27165087051963854</v>
      </c>
      <c r="G464" s="1">
        <f t="shared" ref="G464:L464" si="470">+G465</f>
        <v>0.64192147863689319</v>
      </c>
      <c r="H464" s="1">
        <f t="shared" si="470"/>
        <v>3.5754039118641348E-2</v>
      </c>
      <c r="I464" s="1">
        <f t="shared" si="470"/>
        <v>0.5752368508855753</v>
      </c>
      <c r="J464" s="1">
        <f t="shared" si="470"/>
        <v>0.54074415273274756</v>
      </c>
      <c r="K464" s="1">
        <f t="shared" si="470"/>
        <v>4.3069533397301185E-2</v>
      </c>
      <c r="L464" s="1">
        <f t="shared" si="470"/>
        <v>5.1817982035049732E-2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0.27165087051963854</v>
      </c>
      <c r="G465" s="1">
        <f>'[1]Electricity and CHPs_IN'!C$41-G301</f>
        <v>0.64192147863689319</v>
      </c>
      <c r="H465" s="1">
        <f>'[1]Electricity and CHPs_IN'!D$41-H301</f>
        <v>3.5754039118641348E-2</v>
      </c>
      <c r="I465" s="1">
        <f>'[1]Electricity and CHPs_IN'!E$41-I301</f>
        <v>0.5752368508855753</v>
      </c>
      <c r="J465" s="1">
        <f>'[2]Electricity and CHPs_IN'!F$41-J301</f>
        <v>0.54074415273274756</v>
      </c>
      <c r="K465" s="1">
        <f>'[2]Electricity and CHPs_IN'!G$41-K301</f>
        <v>4.3069533397301185E-2</v>
      </c>
      <c r="L465" s="1">
        <f>'[2]Electricity and CHPs_IN'!H$41-L301</f>
        <v>5.1817982035049732E-2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0.27165087051963854</v>
      </c>
      <c r="G466" s="1">
        <f t="shared" ref="G466:L466" si="471">G467</f>
        <v>0.64192147863689319</v>
      </c>
      <c r="H466" s="1">
        <f t="shared" si="471"/>
        <v>3.5754039118641348E-2</v>
      </c>
      <c r="I466" s="1">
        <f t="shared" si="471"/>
        <v>0.5752368508855753</v>
      </c>
      <c r="J466" s="1">
        <f t="shared" si="471"/>
        <v>0.54074415273274756</v>
      </c>
      <c r="K466" s="1">
        <f t="shared" si="471"/>
        <v>4.3069533397301185E-2</v>
      </c>
      <c r="L466" s="1">
        <f t="shared" si="471"/>
        <v>5.1817982035049732E-2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0.27165087051963854</v>
      </c>
      <c r="G467" s="1">
        <f t="shared" ref="G467:K467" si="472">G465-G469</f>
        <v>0.64192147863689319</v>
      </c>
      <c r="H467" s="1">
        <f t="shared" si="472"/>
        <v>3.5754039118641348E-2</v>
      </c>
      <c r="I467" s="1">
        <f t="shared" si="472"/>
        <v>0.5752368508855753</v>
      </c>
      <c r="J467" s="1">
        <f t="shared" si="472"/>
        <v>0.54074415273274756</v>
      </c>
      <c r="K467" s="1">
        <f t="shared" si="472"/>
        <v>4.3069533397301185E-2</v>
      </c>
      <c r="L467" s="1">
        <f t="shared" ref="L467" si="473">L465-L469</f>
        <v>5.1817982035049732E-2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4">G469</f>
        <v>0</v>
      </c>
      <c r="H468" s="1">
        <f t="shared" si="474"/>
        <v>0</v>
      </c>
      <c r="I468" s="1">
        <f t="shared" si="474"/>
        <v>0</v>
      </c>
      <c r="J468" s="1">
        <f t="shared" si="474"/>
        <v>0</v>
      </c>
      <c r="K468" s="1">
        <f t="shared" si="474"/>
        <v>0</v>
      </c>
      <c r="L468" s="1">
        <f t="shared" si="474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5">IFERROR(G309/G301,0)*G465</f>
        <v>0</v>
      </c>
      <c r="H469" s="1">
        <f t="shared" si="475"/>
        <v>0</v>
      </c>
      <c r="I469" s="1">
        <f t="shared" si="475"/>
        <v>0</v>
      </c>
      <c r="J469" s="1">
        <f t="shared" si="475"/>
        <v>0</v>
      </c>
      <c r="K469" s="1">
        <f t="shared" si="475"/>
        <v>0</v>
      </c>
      <c r="L469" s="1">
        <f t="shared" ref="L469" si="476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3.6034141460901457</v>
      </c>
      <c r="G470" s="1">
        <f t="shared" ref="G470:K470" si="477">SUM(G471:G480)</f>
        <v>2.9946708770643182</v>
      </c>
      <c r="H470" s="1">
        <f t="shared" si="477"/>
        <v>3.1967789373404956</v>
      </c>
      <c r="I470" s="1">
        <f>IFERROR(SUM(I471:I480),0)</f>
        <v>3.6973936457844983</v>
      </c>
      <c r="J470" s="1">
        <f t="shared" si="477"/>
        <v>12.186728216716704</v>
      </c>
      <c r="K470" s="1">
        <f t="shared" si="477"/>
        <v>12.193696544315038</v>
      </c>
      <c r="L470" s="1">
        <f t="shared" ref="L470" si="478">SUM(L471:L480)</f>
        <v>3.4375416093914253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1.0246719960155348</v>
      </c>
      <c r="G471" s="1">
        <f>'[1]Electricity and CHPs_IN'!C$39-G316</f>
        <v>0.24997551929994719</v>
      </c>
      <c r="H471" s="1">
        <f>'[1]Electricity and CHPs_IN'!D$39-H316</f>
        <v>1.4174422885203297</v>
      </c>
      <c r="I471" s="1">
        <f>'[1]Electricity and CHPs_IN'!E$39-I316</f>
        <v>2.045339847655308</v>
      </c>
      <c r="J471" s="1">
        <f>'[2]Electricity and CHPs_IN'!F$39-J316</f>
        <v>0.94744747711123334</v>
      </c>
      <c r="K471" s="1">
        <f>'[2]Electricity and CHPs_IN'!G$39-K316</f>
        <v>0.14290299586547089</v>
      </c>
      <c r="L471" s="1">
        <f>'[2]Electricity and CHPs_IN'!H$39-L316</f>
        <v>3.6990403408166936E-2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1.9536017493100461E-5</v>
      </c>
      <c r="L472" s="6">
        <f>'[2]Electricity and CHPs_IN'!H$40-L317</f>
        <v>4.1425711131021789E-5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3.8326834652026971E-2</v>
      </c>
      <c r="G474" s="1">
        <f>'[1]Electricity and CHPs_IN'!C$48-G319</f>
        <v>2.25719249506628E-3</v>
      </c>
      <c r="H474" s="1">
        <f>'[1]Electricity and CHPs_IN'!D$48-H319</f>
        <v>6.1566244553392293E-3</v>
      </c>
      <c r="I474" s="1">
        <f>IFERROR('[1]Electricity and CHPs_IN'!E$48-I319,0)</f>
        <v>0</v>
      </c>
      <c r="J474" s="1">
        <f>'[2]Electricity and CHPs_IN'!F$48-J319</f>
        <v>1.282591168644125E-2</v>
      </c>
      <c r="K474" s="1">
        <f>'[2]Electricity and CHPs_IN'!G$48-K319</f>
        <v>5.0554647169723001E-3</v>
      </c>
      <c r="L474" s="1">
        <f>'[2]Electricity and CHPs_IN'!H$48-L319</f>
        <v>1.1613922641867309E-3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6.8943317580383884E-2</v>
      </c>
      <c r="G476" s="1">
        <f>'[1]Electricity and CHPs_IN'!C$51-G321</f>
        <v>3.5836685847689771E-3</v>
      </c>
      <c r="H476" s="1">
        <f>'[1]Electricity and CHPs_IN'!D$51-H321</f>
        <v>6.8789657538890995E-3</v>
      </c>
      <c r="I476" s="1">
        <f>'[1]Electricity and CHPs_IN'!E$51-I321</f>
        <v>0</v>
      </c>
      <c r="J476" s="1">
        <f>'[2]Electricity and CHPs_IN'!F$51-J321</f>
        <v>2.6869969099553384</v>
      </c>
      <c r="K476" s="1">
        <f>'[2]Electricity and CHPs_IN'!G$51-K321</f>
        <v>3.8996537132462876</v>
      </c>
      <c r="L476" s="1">
        <f>'[2]Electricity and CHPs_IN'!H$51-L321</f>
        <v>2.0310161000654379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1.5806946739381575</v>
      </c>
      <c r="G478" s="1">
        <f>'[1]Electricity and CHPs_IN'!C$54-G323</f>
        <v>1.7910464012726872</v>
      </c>
      <c r="H478" s="1">
        <f>'[1]Electricity and CHPs_IN'!D$54-H323</f>
        <v>1.7427091332658686</v>
      </c>
      <c r="I478" s="1">
        <f>'[1]Electricity and CHPs_IN'!E$54-I323</f>
        <v>1.6520537981291903</v>
      </c>
      <c r="J478" s="1">
        <f>'[2]Electricity and CHPs_IN'!F$54-J323</f>
        <v>1.5339279231922025</v>
      </c>
      <c r="K478" s="1">
        <f>'[2]Electricity and CHPs_IN'!G$54-K323</f>
        <v>1.404864798197438</v>
      </c>
      <c r="L478" s="1">
        <f>'[2]Electricity and CHPs_IN'!H$54-L323</f>
        <v>1.3676334388521643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0.89077732390404263</v>
      </c>
      <c r="G479" s="1">
        <f>'[1]Electricity and CHPs_IN'!C$55-G324</f>
        <v>0.94780809541184852</v>
      </c>
      <c r="H479" s="1">
        <f>'[1]Electricity and CHPs_IN'!D$55-H324</f>
        <v>2.3591925345069067E-2</v>
      </c>
      <c r="I479" s="1">
        <f>'[1]Electricity and CHPs_IN'!E$55-I324</f>
        <v>0</v>
      </c>
      <c r="J479" s="1">
        <f>'[2]Electricity and CHPs_IN'!F$55-J324</f>
        <v>7.0053918457314843</v>
      </c>
      <c r="K479" s="1">
        <f>'[2]Electricity and CHPs_IN'!G$55-K324</f>
        <v>6.7408965232062679</v>
      </c>
      <c r="L479" s="1">
        <f>'[2]Electricity and CHPs_IN'!H$55-L324</f>
        <v>5.3269899982870774E-4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1.3814904000260535E-4</v>
      </c>
      <c r="K480" s="1">
        <f>'[2]Electricity and CHPs_IN'!G$58-K325</f>
        <v>3.0351306510847421E-4</v>
      </c>
      <c r="L480" s="1">
        <f>'[2]Electricity and CHPs_IN'!H$58-L325</f>
        <v>1.6615009051006559E-4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1.9711813594324001</v>
      </c>
      <c r="G481" s="1">
        <f t="shared" ref="G481:K481" si="479">SUM(G482:G491)</f>
        <v>1.168256946421617</v>
      </c>
      <c r="H481" s="1">
        <f t="shared" si="479"/>
        <v>1.3330839271000647</v>
      </c>
      <c r="I481" s="1">
        <f>IFERROR(SUM(I482:I491),0)</f>
        <v>1.7715585247088925</v>
      </c>
      <c r="J481" s="1">
        <f t="shared" si="479"/>
        <v>10.530063995272615</v>
      </c>
      <c r="K481" s="1">
        <f t="shared" si="479"/>
        <v>10.735701321705822</v>
      </c>
      <c r="L481" s="1">
        <f t="shared" ref="L481" si="480">SUM(L482:L491)</f>
        <v>2.0592386328265824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1">F471-F493</f>
        <v>0.99856374840220197</v>
      </c>
      <c r="G482" s="1">
        <f t="shared" ref="G482:K482" si="482">G471-G493</f>
        <v>0.24263019133558306</v>
      </c>
      <c r="H482" s="1">
        <f t="shared" si="482"/>
        <v>1.2995040039504222</v>
      </c>
      <c r="I482" s="1">
        <f t="shared" si="482"/>
        <v>1.7715585247088925</v>
      </c>
      <c r="J482" s="1">
        <f t="shared" si="482"/>
        <v>0.93653145569671314</v>
      </c>
      <c r="K482" s="1">
        <f t="shared" si="482"/>
        <v>0.14219925789393228</v>
      </c>
      <c r="L482" s="1">
        <f t="shared" ref="L482" si="483">L471-L493</f>
        <v>3.6799729054295224E-2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1"/>
        <v>0</v>
      </c>
      <c r="G483" s="1">
        <f t="shared" ref="G483:K483" si="484">G472-G494</f>
        <v>0</v>
      </c>
      <c r="H483" s="1">
        <f t="shared" si="484"/>
        <v>0</v>
      </c>
      <c r="I483" s="1">
        <f t="shared" si="484"/>
        <v>0</v>
      </c>
      <c r="J483" s="1">
        <f t="shared" si="484"/>
        <v>0</v>
      </c>
      <c r="K483" s="1">
        <f t="shared" si="484"/>
        <v>1.9536017493100461E-5</v>
      </c>
      <c r="L483" s="1">
        <f t="shared" ref="L483" si="485">L472-L494</f>
        <v>4.1425711131021789E-5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1"/>
        <v>0</v>
      </c>
      <c r="G484" s="1">
        <f t="shared" ref="G484:K484" si="486">G473-G495</f>
        <v>0</v>
      </c>
      <c r="H484" s="1">
        <f t="shared" si="486"/>
        <v>0</v>
      </c>
      <c r="I484" s="1">
        <f t="shared" si="486"/>
        <v>0</v>
      </c>
      <c r="J484" s="1">
        <f t="shared" si="486"/>
        <v>0</v>
      </c>
      <c r="K484" s="1">
        <f t="shared" si="486"/>
        <v>0</v>
      </c>
      <c r="L484" s="1">
        <f t="shared" ref="L484" si="487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1"/>
        <v>3.7350281673882324E-2</v>
      </c>
      <c r="G485" s="1">
        <f t="shared" ref="G485:K485" si="488">G474-G496</f>
        <v>2.1908667236411631E-3</v>
      </c>
      <c r="H485" s="1">
        <f t="shared" si="488"/>
        <v>5.6443625220778558E-3</v>
      </c>
      <c r="I485" s="1">
        <f>IFERROR(I474-I496,0)</f>
        <v>0</v>
      </c>
      <c r="J485" s="1">
        <f t="shared" si="488"/>
        <v>1.2678137873103521E-2</v>
      </c>
      <c r="K485" s="1">
        <f t="shared" si="488"/>
        <v>5.0305686504933545E-3</v>
      </c>
      <c r="L485" s="1">
        <f t="shared" ref="L485" si="489">L474-L496</f>
        <v>1.1554056379495996E-3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1"/>
        <v>0</v>
      </c>
      <c r="G486" s="1">
        <f t="shared" ref="G486:K486" si="490">G475-G497</f>
        <v>0</v>
      </c>
      <c r="H486" s="1">
        <f t="shared" si="490"/>
        <v>0</v>
      </c>
      <c r="I486" s="1">
        <f t="shared" si="490"/>
        <v>0</v>
      </c>
      <c r="J486" s="1">
        <f t="shared" si="490"/>
        <v>0</v>
      </c>
      <c r="K486" s="1">
        <f t="shared" si="490"/>
        <v>0</v>
      </c>
      <c r="L486" s="1">
        <f t="shared" ref="L486" si="49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1"/>
        <v>6.7186668414921547E-2</v>
      </c>
      <c r="G487" s="1">
        <f t="shared" ref="G487:K487" si="492">G476-G498</f>
        <v>3.4783653889022994E-3</v>
      </c>
      <c r="H487" s="1">
        <f t="shared" si="492"/>
        <v>6.3066014134151522E-3</v>
      </c>
      <c r="I487" s="1">
        <f t="shared" si="492"/>
        <v>0</v>
      </c>
      <c r="J487" s="1">
        <f t="shared" si="492"/>
        <v>2.6560386600064829</v>
      </c>
      <c r="K487" s="1">
        <f t="shared" si="492"/>
        <v>3.8804495364741887</v>
      </c>
      <c r="L487" s="1">
        <f t="shared" ref="L487" si="493">L476-L498</f>
        <v>2.0205468256887893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1"/>
        <v>0</v>
      </c>
      <c r="G488" s="1">
        <f t="shared" ref="G488:K488" si="494">G477-G499</f>
        <v>0</v>
      </c>
      <c r="H488" s="1">
        <f t="shared" si="494"/>
        <v>0</v>
      </c>
      <c r="I488" s="1">
        <f t="shared" si="494"/>
        <v>0</v>
      </c>
      <c r="J488" s="1">
        <f t="shared" si="494"/>
        <v>0</v>
      </c>
      <c r="K488" s="1">
        <f t="shared" si="494"/>
        <v>0</v>
      </c>
      <c r="L488" s="1">
        <f t="shared" ref="L488" si="49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0.86808066094139424</v>
      </c>
      <c r="G490" s="1">
        <f t="shared" ref="G490:K490" si="496">G479-G501</f>
        <v>0.91995752297349043</v>
      </c>
      <c r="H490" s="1">
        <f t="shared" si="496"/>
        <v>2.1628959214149333E-2</v>
      </c>
      <c r="I490" s="1">
        <f t="shared" si="496"/>
        <v>0</v>
      </c>
      <c r="J490" s="1">
        <f t="shared" si="496"/>
        <v>6.924679184341251</v>
      </c>
      <c r="K490" s="1">
        <f t="shared" si="496"/>
        <v>6.7077004042805406</v>
      </c>
      <c r="L490" s="1">
        <f t="shared" ref="L490" si="497">L479-L501</f>
        <v>5.2995309742586935E-4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8">G480-G502</f>
        <v>0</v>
      </c>
      <c r="H491" s="1">
        <f t="shared" si="498"/>
        <v>0</v>
      </c>
      <c r="I491" s="1">
        <f t="shared" si="498"/>
        <v>0</v>
      </c>
      <c r="J491" s="1">
        <f t="shared" si="498"/>
        <v>1.3655735506439449E-4</v>
      </c>
      <c r="K491" s="1">
        <f t="shared" si="498"/>
        <v>3.0201838917476612E-4</v>
      </c>
      <c r="L491" s="1">
        <f t="shared" ref="L491" si="499">L480-L502</f>
        <v>1.6529363699145546E-4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1.6322327866577457</v>
      </c>
      <c r="G492" s="1">
        <f t="shared" ref="G492:K492" si="500">SUM(G493:G502)</f>
        <v>1.8264139306427014</v>
      </c>
      <c r="H492" s="1">
        <f t="shared" si="500"/>
        <v>1.8636950102404313</v>
      </c>
      <c r="I492" s="1">
        <f>IFERROR(SUM(I493:I502),0)</f>
        <v>1.9258351210756057</v>
      </c>
      <c r="J492" s="1">
        <f t="shared" si="500"/>
        <v>1.6566642214440874</v>
      </c>
      <c r="K492" s="1">
        <f t="shared" si="500"/>
        <v>1.4579952226092159</v>
      </c>
      <c r="L492" s="1">
        <f t="shared" ref="L492" si="501">SUM(L493:L502)</f>
        <v>1.3783029765648431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2">IFERROR(F348/F316,0)*F471</f>
        <v>2.6108247613332896E-2</v>
      </c>
      <c r="G493" s="1">
        <f t="shared" ref="G493:K493" si="503">IFERROR(G348/G316,0)*G471</f>
        <v>7.3453279643641237E-3</v>
      </c>
      <c r="H493" s="1">
        <f t="shared" si="503"/>
        <v>0.1179382845699076</v>
      </c>
      <c r="I493" s="1">
        <f t="shared" si="503"/>
        <v>0.27378132294641538</v>
      </c>
      <c r="J493" s="1">
        <f t="shared" si="503"/>
        <v>1.0916021414520194E-2</v>
      </c>
      <c r="K493" s="1">
        <f t="shared" si="503"/>
        <v>7.0373797153862252E-4</v>
      </c>
      <c r="L493" s="1">
        <f t="shared" ref="L493" si="504">IFERROR(L348/L316,0)*L471</f>
        <v>1.9067435387171475E-4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2"/>
        <v>0</v>
      </c>
      <c r="G494" s="1">
        <f t="shared" ref="G494:K494" si="505">IFERROR(G349/G317,0)*G472</f>
        <v>0</v>
      </c>
      <c r="H494" s="1">
        <f t="shared" si="505"/>
        <v>0</v>
      </c>
      <c r="I494" s="1">
        <f t="shared" si="505"/>
        <v>0</v>
      </c>
      <c r="J494" s="1">
        <f t="shared" si="505"/>
        <v>0</v>
      </c>
      <c r="K494" s="1">
        <f t="shared" si="505"/>
        <v>0</v>
      </c>
      <c r="L494" s="1">
        <f t="shared" ref="L494" si="506">IFERROR(L349/L317,0)*L472</f>
        <v>0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2"/>
        <v>0</v>
      </c>
      <c r="G495" s="1">
        <f t="shared" ref="G495:K495" si="507">IFERROR(G350/G318,0)*G473</f>
        <v>0</v>
      </c>
      <c r="H495" s="1">
        <f t="shared" si="507"/>
        <v>0</v>
      </c>
      <c r="I495" s="1">
        <f t="shared" si="507"/>
        <v>0</v>
      </c>
      <c r="J495" s="1">
        <f t="shared" si="507"/>
        <v>0</v>
      </c>
      <c r="K495" s="1">
        <f t="shared" si="507"/>
        <v>0</v>
      </c>
      <c r="L495" s="1">
        <f t="shared" ref="L495" si="508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2"/>
        <v>9.7655297814464601E-4</v>
      </c>
      <c r="G496" s="1">
        <f t="shared" ref="G496:K496" si="509">IFERROR(G351/G319,0)*G474</f>
        <v>6.6325771425116724E-5</v>
      </c>
      <c r="H496" s="1">
        <f t="shared" si="509"/>
        <v>5.1226193326137342E-4</v>
      </c>
      <c r="I496" s="1">
        <f>IFERROR(IFERROR(I351/I319,0)*I474,0)</f>
        <v>0</v>
      </c>
      <c r="J496" s="1">
        <f t="shared" si="509"/>
        <v>1.4777381333772928E-4</v>
      </c>
      <c r="K496" s="1">
        <f t="shared" si="509"/>
        <v>2.4896066478945494E-5</v>
      </c>
      <c r="L496" s="1">
        <f t="shared" ref="L496" si="510">IFERROR(L351/L319,0)*L474</f>
        <v>5.9866262371313255E-6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2"/>
        <v>0</v>
      </c>
      <c r="G497" s="1">
        <f t="shared" ref="G497:K497" si="511">IFERROR(G352/G320,0)*G475</f>
        <v>0</v>
      </c>
      <c r="H497" s="1">
        <f t="shared" si="511"/>
        <v>0</v>
      </c>
      <c r="I497" s="1">
        <f t="shared" si="511"/>
        <v>0</v>
      </c>
      <c r="J497" s="1">
        <f t="shared" si="511"/>
        <v>0</v>
      </c>
      <c r="K497" s="1">
        <f t="shared" si="511"/>
        <v>0</v>
      </c>
      <c r="L497" s="1">
        <f t="shared" ref="L497" si="512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2"/>
        <v>1.7566491654623312E-3</v>
      </c>
      <c r="G498" s="1">
        <f t="shared" ref="G498:K498" si="513">IFERROR(G353/G321,0)*G476</f>
        <v>1.0530319586667782E-4</v>
      </c>
      <c r="H498" s="1">
        <f t="shared" si="513"/>
        <v>5.7236434047394755E-4</v>
      </c>
      <c r="I498" s="1">
        <f t="shared" si="513"/>
        <v>0</v>
      </c>
      <c r="J498" s="1">
        <f t="shared" si="513"/>
        <v>3.0958249948855609E-2</v>
      </c>
      <c r="K498" s="1">
        <f t="shared" si="513"/>
        <v>1.9204176772098899E-2</v>
      </c>
      <c r="L498" s="1">
        <f t="shared" ref="L498" si="514">IFERROR(L353/L321,0)*L476</f>
        <v>1.0469274376648682E-2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2"/>
        <v>0</v>
      </c>
      <c r="G499" s="1">
        <f t="shared" ref="G499:K499" si="515">IFERROR(G354/G322,0)*G477</f>
        <v>0</v>
      </c>
      <c r="H499" s="1">
        <f t="shared" si="515"/>
        <v>0</v>
      </c>
      <c r="I499" s="1">
        <f t="shared" si="515"/>
        <v>0</v>
      </c>
      <c r="J499" s="1">
        <f t="shared" si="515"/>
        <v>0</v>
      </c>
      <c r="K499" s="1">
        <f t="shared" si="515"/>
        <v>0</v>
      </c>
      <c r="L499" s="1">
        <f t="shared" ref="L499" si="516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1.5806946739381575</v>
      </c>
      <c r="G500" s="1">
        <f t="shared" ref="G500:K500" si="517">G478</f>
        <v>1.7910464012726872</v>
      </c>
      <c r="H500" s="1">
        <f t="shared" si="517"/>
        <v>1.7427091332658686</v>
      </c>
      <c r="I500" s="1">
        <f t="shared" si="517"/>
        <v>1.6520537981291903</v>
      </c>
      <c r="J500" s="1">
        <f t="shared" si="517"/>
        <v>1.5339279231922025</v>
      </c>
      <c r="K500" s="1">
        <f t="shared" si="517"/>
        <v>1.404864798197438</v>
      </c>
      <c r="L500" s="1">
        <f t="shared" ref="L500" si="518">L478</f>
        <v>1.3676334388521643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2.2696662962648374E-2</v>
      </c>
      <c r="G501" s="1">
        <f t="shared" ref="G501:K501" si="519">IFERROR(G356/G324,0)*G479</f>
        <v>2.7850572438358097E-2</v>
      </c>
      <c r="H501" s="1">
        <f t="shared" si="519"/>
        <v>1.9629661309197351E-3</v>
      </c>
      <c r="I501" s="1">
        <f t="shared" si="519"/>
        <v>0</v>
      </c>
      <c r="J501" s="1">
        <f t="shared" si="519"/>
        <v>8.0712661390233212E-2</v>
      </c>
      <c r="K501" s="1">
        <f t="shared" si="519"/>
        <v>3.3196118925727693E-2</v>
      </c>
      <c r="L501" s="1">
        <f t="shared" ref="L501" si="520">IFERROR(L356/L324,0)*L479</f>
        <v>2.7459024028383706E-6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1">IFERROR(G357/G325,0)*G480</f>
        <v>0</v>
      </c>
      <c r="H502" s="1">
        <f t="shared" si="521"/>
        <v>0</v>
      </c>
      <c r="I502" s="1">
        <f t="shared" si="521"/>
        <v>0</v>
      </c>
      <c r="J502" s="1">
        <f t="shared" si="521"/>
        <v>1.591684938210861E-6</v>
      </c>
      <c r="K502" s="1">
        <f t="shared" si="521"/>
        <v>1.4946759337081031E-6</v>
      </c>
      <c r="L502" s="1">
        <f t="shared" ref="L502" si="522">IFERROR(L357/L325,0)*L480</f>
        <v>8.5645351861013416E-7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3.3175189361403143</v>
      </c>
      <c r="G503" s="1">
        <f t="shared" ref="G503:K503" si="523">SUM(G504:G505)</f>
        <v>3.3046581816677643</v>
      </c>
      <c r="H503" s="1">
        <f t="shared" si="523"/>
        <v>4.217707121869003E-3</v>
      </c>
      <c r="I503" s="1">
        <f t="shared" si="523"/>
        <v>3.7083601381431011E-3</v>
      </c>
      <c r="J503" s="1">
        <f t="shared" si="523"/>
        <v>3.649375403348008E-3</v>
      </c>
      <c r="K503" s="1">
        <f t="shared" si="523"/>
        <v>1.407766289713918E-3</v>
      </c>
      <c r="L503" s="1">
        <f t="shared" ref="L503" si="524">SUM(L504:L505)</f>
        <v>1.2290166711315035E-3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3.3175189361403143</v>
      </c>
      <c r="G504" s="6">
        <f>'[1]Electricity and CHPs_IN'!C$44-G363</f>
        <v>3.3046581816677643</v>
      </c>
      <c r="H504" s="6">
        <f>'[1]Electricity and CHPs_IN'!D$44-H363</f>
        <v>4.217707121869003E-3</v>
      </c>
      <c r="I504" s="6">
        <f>'[1]Electricity and CHPs_IN'!E$44-I363</f>
        <v>3.7083601381431011E-3</v>
      </c>
      <c r="J504" s="6">
        <f>'[2]Electricity and CHPs_IN'!F$44-J363</f>
        <v>3.649375403348008E-3</v>
      </c>
      <c r="K504" s="6">
        <f>'[2]Electricity and CHPs_IN'!G$44-K363</f>
        <v>1.407766289713918E-3</v>
      </c>
      <c r="L504" s="6">
        <f>'[2]Electricity and CHPs_IN'!H$44-L363</f>
        <v>1.2290166711315035E-3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0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5">SUM(G507:G508)</f>
        <v>0</v>
      </c>
      <c r="H506" s="1">
        <f t="shared" si="525"/>
        <v>0</v>
      </c>
      <c r="I506" s="1">
        <f t="shared" si="525"/>
        <v>0</v>
      </c>
      <c r="J506" s="1">
        <f t="shared" si="525"/>
        <v>0</v>
      </c>
      <c r="K506" s="1">
        <f t="shared" si="525"/>
        <v>0</v>
      </c>
      <c r="L506" s="1">
        <f t="shared" ref="L506" si="526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3.3175189361403143</v>
      </c>
      <c r="G509" s="1">
        <f t="shared" ref="G509:K509" si="527">SUM(G510:G511)</f>
        <v>3.3046581816677643</v>
      </c>
      <c r="H509" s="1">
        <f t="shared" si="527"/>
        <v>4.217707121869003E-3</v>
      </c>
      <c r="I509" s="1">
        <f t="shared" si="527"/>
        <v>3.7083601381431011E-3</v>
      </c>
      <c r="J509" s="1">
        <f t="shared" si="527"/>
        <v>3.649375403348008E-3</v>
      </c>
      <c r="K509" s="1">
        <f t="shared" si="527"/>
        <v>1.407766289713918E-3</v>
      </c>
      <c r="L509" s="1">
        <f t="shared" ref="L509" si="528">SUM(L510:L511)</f>
        <v>1.2290166711315035E-3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3.3175189361403143</v>
      </c>
      <c r="G510" s="1">
        <f t="shared" ref="G510:K510" si="529">G504</f>
        <v>3.3046581816677643</v>
      </c>
      <c r="H510" s="1">
        <f t="shared" si="529"/>
        <v>4.217707121869003E-3</v>
      </c>
      <c r="I510" s="1">
        <f t="shared" si="529"/>
        <v>3.7083601381431011E-3</v>
      </c>
      <c r="J510" s="1">
        <f t="shared" si="529"/>
        <v>3.649375403348008E-3</v>
      </c>
      <c r="K510" s="1">
        <f t="shared" si="529"/>
        <v>1.407766289713918E-3</v>
      </c>
      <c r="L510" s="1">
        <f t="shared" ref="L510" si="530">L504</f>
        <v>1.2290166711315035E-3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1">G505</f>
        <v>0</v>
      </c>
      <c r="H511" s="1">
        <f t="shared" si="531"/>
        <v>0</v>
      </c>
      <c r="I511" s="1">
        <f t="shared" si="531"/>
        <v>0</v>
      </c>
      <c r="J511" s="1">
        <f t="shared" si="531"/>
        <v>0</v>
      </c>
      <c r="K511" s="1">
        <f t="shared" si="531"/>
        <v>0</v>
      </c>
      <c r="L511" s="1">
        <f t="shared" ref="L511" si="532">L505</f>
        <v>0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0.69180919651144779</v>
      </c>
      <c r="G512" s="1">
        <f t="shared" ref="G512:K512" si="533">SUM(G513:G517)</f>
        <v>1.5773068040790048</v>
      </c>
      <c r="H512" s="1">
        <f t="shared" si="533"/>
        <v>3.5056481175919072</v>
      </c>
      <c r="I512" s="1">
        <f t="shared" si="533"/>
        <v>3.2174969146722212</v>
      </c>
      <c r="J512" s="1">
        <f t="shared" si="533"/>
        <v>5.0690782872228581</v>
      </c>
      <c r="K512" s="1">
        <f t="shared" si="533"/>
        <v>6.6947943115586517</v>
      </c>
      <c r="L512" s="1">
        <f t="shared" ref="L512" si="534">SUM(L513:L517)</f>
        <v>8.3571132665933501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0.69180919651144779</v>
      </c>
      <c r="G513" s="6">
        <f>'[1]Electricity and CHPs_IN'!C$42-G382</f>
        <v>1.5773068040790048</v>
      </c>
      <c r="H513" s="6">
        <f>'[1]Electricity and CHPs_IN'!D$42-H382</f>
        <v>3.5056481175919072</v>
      </c>
      <c r="I513" s="6">
        <f>'[1]Electricity and CHPs_IN'!E$42-I382</f>
        <v>3.2174969146722212</v>
      </c>
      <c r="J513" s="6">
        <f>'[2]Electricity and CHPs_IN'!F$42-J382</f>
        <v>5.0665799979970441</v>
      </c>
      <c r="K513" s="6">
        <f>'[2]Electricity and CHPs_IN'!G$42-K382</f>
        <v>6.6934339042883755</v>
      </c>
      <c r="L513" s="6">
        <f>'[2]Electricity and CHPs_IN'!H$42-L382</f>
        <v>8.3548232882558011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1.9541322958935716E-5</v>
      </c>
      <c r="L514" s="1">
        <f>'[2]Electricity and CHPs_IN'!H$43-L383</f>
        <v>5.8745827365306462E-5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7.4788424520269711E-4</v>
      </c>
      <c r="K515" s="1">
        <f>'[2]Electricity and CHPs_IN'!G$50-K384</f>
        <v>4.7456397009205085E-4</v>
      </c>
      <c r="L515" s="1">
        <f>'[2]Electricity and CHPs_IN'!H$50-L384</f>
        <v>6.3795012785875806E-4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1.2777140632900562E-3</v>
      </c>
      <c r="K516" s="1">
        <f>'[2]Electricity and CHPs_IN'!G$53-K385</f>
        <v>6.2722690787714362E-4</v>
      </c>
      <c r="L516" s="1">
        <f>'[2]Electricity and CHPs_IN'!H$53-L385</f>
        <v>1.3802358858302749E-3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4.7269091732056191E-4</v>
      </c>
      <c r="K517" s="1">
        <f>'[2]Electricity and CHPs_IN'!G$56-K386</f>
        <v>2.3907506934747657E-4</v>
      </c>
      <c r="L517" s="1">
        <f>'[2]Electricity and CHPs_IN'!H$56-L386</f>
        <v>2.1304649649469973E-4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5">SUM(G519:G520)</f>
        <v>0</v>
      </c>
      <c r="H518" s="1">
        <f t="shared" si="535"/>
        <v>0</v>
      </c>
      <c r="I518" s="1">
        <f t="shared" si="535"/>
        <v>0</v>
      </c>
      <c r="J518" s="1">
        <f t="shared" si="535"/>
        <v>0</v>
      </c>
      <c r="K518" s="1">
        <f t="shared" si="535"/>
        <v>0</v>
      </c>
      <c r="L518" s="1">
        <f t="shared" ref="L518" si="536">SUM(L519:L520)</f>
        <v>0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0</v>
      </c>
      <c r="K519" s="1">
        <f>'[2]Electricity and CHPs_IN'!G$46-K399</f>
        <v>0</v>
      </c>
      <c r="L519" s="1">
        <f>'[2]Electricity and CHPs_IN'!H$46-L399</f>
        <v>0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0</v>
      </c>
      <c r="K520" s="1">
        <f>'[2]Electricity and CHPs_IN'!G$57-K400</f>
        <v>0</v>
      </c>
      <c r="L520" s="1">
        <f>'[2]Electricity and CHPs_IN'!H$57-L400</f>
        <v>0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7">IFERROR(F65/F293,"-")</f>
        <v>0.32978920497088227</v>
      </c>
      <c r="G522" s="13">
        <f t="shared" si="537"/>
        <v>0.32672708803837769</v>
      </c>
      <c r="H522" s="13">
        <f t="shared" si="537"/>
        <v>0.32629920836797122</v>
      </c>
      <c r="I522" s="13">
        <f t="shared" si="537"/>
        <v>0.33003145293999292</v>
      </c>
      <c r="J522" s="13">
        <f t="shared" si="537"/>
        <v>0.33008879701550387</v>
      </c>
      <c r="K522" s="13">
        <f t="shared" si="537"/>
        <v>0.33008875471283383</v>
      </c>
      <c r="L522" s="13">
        <f t="shared" ref="L522" si="538">IFERROR(L65/L293,"-")</f>
        <v>0.31466930766289641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39">IFERROR(F67/F295,"-")</f>
        <v>1</v>
      </c>
      <c r="G523" s="13">
        <f t="shared" si="539"/>
        <v>1</v>
      </c>
      <c r="H523" s="13">
        <f t="shared" si="539"/>
        <v>1</v>
      </c>
      <c r="I523" s="13">
        <f t="shared" si="539"/>
        <v>1</v>
      </c>
      <c r="J523" s="13">
        <f t="shared" si="539"/>
        <v>1</v>
      </c>
      <c r="K523" s="13">
        <f t="shared" si="539"/>
        <v>1</v>
      </c>
      <c r="L523" s="13">
        <f t="shared" ref="L523" si="540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39"/>
        <v>1</v>
      </c>
      <c r="G524" s="13">
        <f t="shared" si="539"/>
        <v>1</v>
      </c>
      <c r="H524" s="13">
        <f t="shared" si="539"/>
        <v>1</v>
      </c>
      <c r="I524" s="13">
        <f t="shared" si="539"/>
        <v>1</v>
      </c>
      <c r="J524" s="13">
        <f t="shared" si="539"/>
        <v>1</v>
      </c>
      <c r="K524" s="13">
        <f t="shared" si="539"/>
        <v>1</v>
      </c>
      <c r="L524" s="13">
        <f t="shared" ref="L524" si="541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39"/>
        <v>0.79999996707485099</v>
      </c>
      <c r="G525" s="13">
        <f t="shared" si="539"/>
        <v>0.79999994694805221</v>
      </c>
      <c r="H525" s="13">
        <f t="shared" si="539"/>
        <v>0.79999990031290191</v>
      </c>
      <c r="I525" s="13">
        <f t="shared" si="539"/>
        <v>0.80000000665779825</v>
      </c>
      <c r="J525" s="13">
        <f t="shared" si="539"/>
        <v>0.80000000272980298</v>
      </c>
      <c r="K525" s="13">
        <f t="shared" si="539"/>
        <v>0.80000000481100308</v>
      </c>
      <c r="L525" s="13">
        <f t="shared" ref="L525" si="542">IFERROR(L69/L297,"-")</f>
        <v>0.80000000609006261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0.34420846136138794</v>
      </c>
      <c r="G526" s="13">
        <f t="shared" ref="G526:K526" si="543">IFERROR(G71/G299,"-")</f>
        <v>5.1578036155227304E-2</v>
      </c>
      <c r="H526" s="13">
        <f t="shared" si="543"/>
        <v>0.32603567055646565</v>
      </c>
      <c r="I526" s="13">
        <f t="shared" si="543"/>
        <v>0.29130371774168889</v>
      </c>
      <c r="J526" s="13">
        <f t="shared" si="543"/>
        <v>0.29810062013462274</v>
      </c>
      <c r="K526" s="13">
        <f t="shared" si="543"/>
        <v>0.30768065920272114</v>
      </c>
      <c r="L526" s="13">
        <f t="shared" ref="L526" si="544">IFERROR(L71/L299,"-")</f>
        <v>0.31557957022963418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9.8649785416739036E-2</v>
      </c>
      <c r="G527" s="13">
        <f t="shared" ref="G527:K527" si="545">IFERROR(G72/(G300+G413),"-")</f>
        <v>3.9814668407197218E-2</v>
      </c>
      <c r="H527" s="13">
        <f t="shared" si="545"/>
        <v>9.7589282767963831E-2</v>
      </c>
      <c r="I527" s="13">
        <f t="shared" si="545"/>
        <v>0.10084401361653735</v>
      </c>
      <c r="J527" s="13">
        <f t="shared" si="545"/>
        <v>0.10229611743118573</v>
      </c>
      <c r="K527" s="13">
        <f t="shared" si="545"/>
        <v>0.10734092139133868</v>
      </c>
      <c r="L527" s="13">
        <f t="shared" ref="L527" si="546">IFERROR(L72/(L300+L413),"-")</f>
        <v>0.10398660608843095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0.2412338048911081</v>
      </c>
      <c r="G528" s="13">
        <f t="shared" ref="G528:K528" si="547">IFERROR(G73/(G301+G465),"-")</f>
        <v>0.24667071322334794</v>
      </c>
      <c r="H528" s="13">
        <f t="shared" si="547"/>
        <v>0.24903060488782816</v>
      </c>
      <c r="I528" s="13">
        <f t="shared" si="547"/>
        <v>0.26336229809405015</v>
      </c>
      <c r="J528" s="13">
        <f t="shared" si="547"/>
        <v>0.26338611204337403</v>
      </c>
      <c r="K528" s="13">
        <f t="shared" si="547"/>
        <v>0.26274777398427313</v>
      </c>
      <c r="L528" s="13">
        <f t="shared" ref="L528" si="548">IFERROR(L73/(L301+L465),"-")</f>
        <v>0.25882814687917255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49">IFERROR(G83/G311,"-")</f>
        <v>-</v>
      </c>
      <c r="H529" s="13" t="str">
        <f t="shared" si="549"/>
        <v>-</v>
      </c>
      <c r="I529" s="13" t="str">
        <f t="shared" si="549"/>
        <v>-</v>
      </c>
      <c r="J529" s="13" t="str">
        <f t="shared" si="549"/>
        <v>-</v>
      </c>
      <c r="K529" s="13">
        <f t="shared" si="549"/>
        <v>0.57250877081435181</v>
      </c>
      <c r="L529" s="13">
        <f t="shared" ref="L529" si="550">IFERROR(L83/L311,"-")</f>
        <v>0.62749998540132124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1">IFERROR(G84/G312,"-")</f>
        <v>-</v>
      </c>
      <c r="H530" s="13" t="str">
        <f t="shared" si="551"/>
        <v>-</v>
      </c>
      <c r="I530" s="13" t="str">
        <f t="shared" si="551"/>
        <v>-</v>
      </c>
      <c r="J530" s="13">
        <f t="shared" si="551"/>
        <v>0.39172695836140797</v>
      </c>
      <c r="K530" s="13">
        <f t="shared" si="551"/>
        <v>0.36342491282477746</v>
      </c>
      <c r="L530" s="13">
        <f t="shared" ref="L530" si="552">IFERROR(L84/L312,"-")</f>
        <v>0.42334343277934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3">IFERROR(G85/G313,"-")</f>
        <v>-</v>
      </c>
      <c r="H531" s="13" t="str">
        <f t="shared" si="553"/>
        <v>-</v>
      </c>
      <c r="I531" s="13" t="str">
        <f t="shared" si="553"/>
        <v>-</v>
      </c>
      <c r="J531" s="13" t="str">
        <f t="shared" si="553"/>
        <v>-</v>
      </c>
      <c r="K531" s="13">
        <f t="shared" si="553"/>
        <v>0</v>
      </c>
      <c r="L531" s="13">
        <f t="shared" ref="L531" si="554">IFERROR(L85/L313,"-")</f>
        <v>0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0.26319093386336617</v>
      </c>
      <c r="G532" s="13">
        <f t="shared" ref="G532:K532" si="555">IFERROR(G86/SUM(G314,G419),"-")</f>
        <v>0.22064536318624611</v>
      </c>
      <c r="H532" s="13">
        <f t="shared" si="555"/>
        <v>0.25464340399285207</v>
      </c>
      <c r="I532" s="13">
        <f t="shared" si="555"/>
        <v>0.24591012080291028</v>
      </c>
      <c r="J532" s="13">
        <f t="shared" si="555"/>
        <v>0.24473576789900031</v>
      </c>
      <c r="K532" s="13">
        <f t="shared" si="555"/>
        <v>0.24506977945139538</v>
      </c>
      <c r="L532" s="13">
        <f t="shared" ref="L532" si="556">IFERROR(L86/SUM(L314,L419),"-")</f>
        <v>0.24585136156391954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7">IFERROR(G87/SUM(G315,G420),"-")</f>
        <v>-</v>
      </c>
      <c r="H533" s="13" t="str">
        <f t="shared" si="557"/>
        <v>-</v>
      </c>
      <c r="I533" s="13" t="str">
        <f t="shared" si="557"/>
        <v>-</v>
      </c>
      <c r="J533" s="13" t="str">
        <f t="shared" si="557"/>
        <v>-</v>
      </c>
      <c r="K533" s="13">
        <f t="shared" si="557"/>
        <v>0.40000000000000024</v>
      </c>
      <c r="L533" s="13">
        <f t="shared" ref="L533" si="558">IFERROR(L87/SUM(L315,L420),"-")</f>
        <v>0.39999999999999974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0.3493120651420929</v>
      </c>
      <c r="G534" s="13">
        <f t="shared" ref="G534:K534" si="559">IFERROR(G88/SUM(G316,G471),"-'")</f>
        <v>0.35197338471120188</v>
      </c>
      <c r="H534" s="13">
        <f t="shared" si="559"/>
        <v>0.35495242450428416</v>
      </c>
      <c r="I534" s="13">
        <f t="shared" si="559"/>
        <v>0.35999487296738103</v>
      </c>
      <c r="J534" s="13">
        <f t="shared" si="559"/>
        <v>0.35998721164411412</v>
      </c>
      <c r="K534" s="13">
        <f t="shared" si="559"/>
        <v>0.35825220532356111</v>
      </c>
      <c r="L534" s="13">
        <f t="shared" ref="L534" si="560">IFERROR(L88/SUM(L316,L471),"-'")</f>
        <v>0.35258635629505397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1">IFERROR(F89/SUM(F317,F472),"-")</f>
        <v>-</v>
      </c>
      <c r="G535" s="13" t="str">
        <f t="shared" ref="G535:K535" si="562">IFERROR(G89/SUM(G317,G472),"-")</f>
        <v>-</v>
      </c>
      <c r="H535" s="13" t="str">
        <f t="shared" si="562"/>
        <v>-</v>
      </c>
      <c r="I535" s="13" t="str">
        <f t="shared" si="562"/>
        <v>-</v>
      </c>
      <c r="J535" s="13" t="str">
        <f t="shared" si="562"/>
        <v>-</v>
      </c>
      <c r="K535" s="13">
        <f t="shared" si="562"/>
        <v>0</v>
      </c>
      <c r="L535" s="13">
        <f t="shared" ref="L535" si="563">IFERROR(L89/SUM(L317,L472),"-")</f>
        <v>0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1"/>
        <v>-</v>
      </c>
      <c r="G536" s="13" t="str">
        <f t="shared" ref="G536:K536" si="564">IFERROR(G90/SUM(G318,G473),"-")</f>
        <v>-</v>
      </c>
      <c r="H536" s="13" t="str">
        <f t="shared" si="564"/>
        <v>-</v>
      </c>
      <c r="I536" s="13" t="str">
        <f t="shared" si="564"/>
        <v>-</v>
      </c>
      <c r="J536" s="13" t="str">
        <f t="shared" si="564"/>
        <v>-</v>
      </c>
      <c r="K536" s="13" t="str">
        <f t="shared" si="564"/>
        <v>-</v>
      </c>
      <c r="L536" s="13" t="str">
        <f t="shared" ref="L536" si="565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1"/>
        <v>0.24230989515412144</v>
      </c>
      <c r="G537" s="13">
        <f t="shared" ref="G537:K537" si="566">IFERROR(G91/SUM(G319,G474),"-")</f>
        <v>0.26726425921397151</v>
      </c>
      <c r="H537" s="13">
        <f t="shared" si="566"/>
        <v>0.22744840431488761</v>
      </c>
      <c r="I537" s="13" t="str">
        <f t="shared" si="566"/>
        <v>-</v>
      </c>
      <c r="J537" s="13">
        <f t="shared" si="566"/>
        <v>0.26621987488115856</v>
      </c>
      <c r="K537" s="13">
        <f t="shared" si="566"/>
        <v>0.25391232019055393</v>
      </c>
      <c r="L537" s="13">
        <f t="shared" ref="L537" si="567">IFERROR(L91/SUM(L319,L474),"-")</f>
        <v>0.21018033662584804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1"/>
        <v>-</v>
      </c>
      <c r="G538" s="13" t="str">
        <f t="shared" ref="G538:K538" si="568">IFERROR(G92/SUM(G320,G475),"-")</f>
        <v>-</v>
      </c>
      <c r="H538" s="13" t="str">
        <f t="shared" si="568"/>
        <v>-</v>
      </c>
      <c r="I538" s="13" t="str">
        <f t="shared" si="568"/>
        <v>-</v>
      </c>
      <c r="J538" s="13">
        <f t="shared" si="568"/>
        <v>0.42999999999999994</v>
      </c>
      <c r="K538" s="13">
        <f t="shared" si="568"/>
        <v>0.43999999999999989</v>
      </c>
      <c r="L538" s="13">
        <f t="shared" ref="L538" si="569">IFERROR(L92/SUM(L320,L475),"-")</f>
        <v>0.45000000000000007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1"/>
        <v>0.27502031666048304</v>
      </c>
      <c r="G539" s="13">
        <f t="shared" ref="G539:K539" si="570">IFERROR(G93/SUM(G321,G476),"-")</f>
        <v>0.28880065556020507</v>
      </c>
      <c r="H539" s="13">
        <f t="shared" si="570"/>
        <v>0.25290505227225007</v>
      </c>
      <c r="I539" s="13" t="str">
        <f t="shared" si="570"/>
        <v>-</v>
      </c>
      <c r="J539" s="13">
        <f t="shared" si="570"/>
        <v>0.30209446274069368</v>
      </c>
      <c r="K539" s="13">
        <f t="shared" si="570"/>
        <v>0.30472960426902362</v>
      </c>
      <c r="L539" s="13">
        <f t="shared" ref="L539" si="571">IFERROR(L93/SUM(L321,L476),"-")</f>
        <v>0.30991168767463029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1"/>
        <v>-</v>
      </c>
      <c r="G540" s="13" t="str">
        <f t="shared" ref="G540:K540" si="572">IFERROR(G94/SUM(G322,G477),"-")</f>
        <v>-</v>
      </c>
      <c r="H540" s="13" t="str">
        <f t="shared" si="572"/>
        <v>-</v>
      </c>
      <c r="I540" s="13" t="str">
        <f t="shared" si="572"/>
        <v>-</v>
      </c>
      <c r="J540" s="13">
        <f t="shared" si="572"/>
        <v>0.42999999999999994</v>
      </c>
      <c r="K540" s="13">
        <f t="shared" si="572"/>
        <v>0.44000000000000017</v>
      </c>
      <c r="L540" s="13">
        <f t="shared" ref="L540" si="573">IFERROR(L94/SUM(L322,L477),"-")</f>
        <v>0.45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1"/>
        <v>0.36265563525444594</v>
      </c>
      <c r="G541" s="13">
        <f t="shared" ref="G541:K541" si="574">IFERROR(G95/SUM(G323,G478),"-")</f>
        <v>0.3630754890066632</v>
      </c>
      <c r="H541" s="13">
        <f t="shared" si="574"/>
        <v>0.36351067488218425</v>
      </c>
      <c r="I541" s="13">
        <f t="shared" si="574"/>
        <v>0.36474454623056479</v>
      </c>
      <c r="J541" s="13">
        <f t="shared" si="574"/>
        <v>0.36985382442115777</v>
      </c>
      <c r="K541" s="13">
        <f t="shared" si="574"/>
        <v>0.37496617731166981</v>
      </c>
      <c r="L541" s="13">
        <f t="shared" ref="L541" si="575">IFERROR(L95/SUM(L323,L478),"-")</f>
        <v>0.38517393911694547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1"/>
        <v>0.35909346048943558</v>
      </c>
      <c r="G542" s="13">
        <f t="shared" ref="G542:K542" si="576">IFERROR(G96/SUM(G324,G479),"-")</f>
        <v>0.35999865440545292</v>
      </c>
      <c r="H542" s="13">
        <f t="shared" si="576"/>
        <v>0.35482474672192726</v>
      </c>
      <c r="I542" s="13" t="str">
        <f t="shared" si="576"/>
        <v>-</v>
      </c>
      <c r="J542" s="13">
        <f t="shared" si="576"/>
        <v>0.35995498986048191</v>
      </c>
      <c r="K542" s="13">
        <f t="shared" si="576"/>
        <v>0.35997464022706172</v>
      </c>
      <c r="L542" s="13">
        <f t="shared" ref="L542" si="577">IFERROR(L96/SUM(L324,L479),"-")</f>
        <v>0.26345584237724567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1"/>
        <v>-</v>
      </c>
      <c r="G543" s="13" t="str">
        <f t="shared" ref="G543:K543" si="578">IFERROR(G97/SUM(G325,G480),"-")</f>
        <v>-</v>
      </c>
      <c r="H543" s="13" t="str">
        <f t="shared" si="578"/>
        <v>-</v>
      </c>
      <c r="I543" s="13" t="str">
        <f t="shared" si="578"/>
        <v>-</v>
      </c>
      <c r="J543" s="13">
        <f t="shared" si="578"/>
        <v>0.6047999465361531</v>
      </c>
      <c r="K543" s="13">
        <f t="shared" si="578"/>
        <v>0.60994268836962862</v>
      </c>
      <c r="L543" s="13">
        <f t="shared" ref="L543" si="579">IFERROR(L97/SUM(L325,L480),"-")</f>
        <v>0.61993252102877316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0.35745695376016595</v>
      </c>
      <c r="G544" s="13">
        <f t="shared" ref="G544:K544" si="580">IFERROR(G131/G359,"-")</f>
        <v>0.35745695376016628</v>
      </c>
      <c r="H544" s="13">
        <f t="shared" si="580"/>
        <v>0.35745695376016617</v>
      </c>
      <c r="I544" s="13">
        <f t="shared" si="580"/>
        <v>0.35745695376016584</v>
      </c>
      <c r="J544" s="13">
        <f t="shared" si="580"/>
        <v>0.35745695376016606</v>
      </c>
      <c r="K544" s="13">
        <f t="shared" si="580"/>
        <v>0.35745695376016573</v>
      </c>
      <c r="L544" s="13">
        <f t="shared" ref="L544" si="581">IFERROR(L131/L359,"-")</f>
        <v>0.35745695376016562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2">IFERROR(G132/G360,"-")</f>
        <v>-</v>
      </c>
      <c r="H545" s="13" t="str">
        <f t="shared" si="582"/>
        <v>-</v>
      </c>
      <c r="I545" s="13" t="str">
        <f t="shared" si="582"/>
        <v>-</v>
      </c>
      <c r="J545" s="13" t="str">
        <f t="shared" si="582"/>
        <v>-</v>
      </c>
      <c r="K545" s="13" t="str">
        <f t="shared" si="582"/>
        <v>-</v>
      </c>
      <c r="L545" s="13" t="str">
        <f t="shared" ref="L545" si="583">IFERROR(L132/L360,"-")</f>
        <v>-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3.838365258461305E-2</v>
      </c>
      <c r="G546" s="13">
        <f t="shared" ref="G546:K546" si="584">IFERROR(G133/SUM(G361,G428),"-")</f>
        <v>3.7020568751244556E-2</v>
      </c>
      <c r="H546" s="13">
        <f t="shared" si="584"/>
        <v>3.6789043449981705E-2</v>
      </c>
      <c r="I546" s="13">
        <f t="shared" si="584"/>
        <v>3.6991513302823374E-2</v>
      </c>
      <c r="J546" s="13">
        <f t="shared" si="584"/>
        <v>3.7433336372260706E-2</v>
      </c>
      <c r="K546" s="13">
        <f t="shared" si="584"/>
        <v>3.7640954590042013E-2</v>
      </c>
      <c r="L546" s="13">
        <f t="shared" ref="L546" si="585">IFERROR(L133/SUM(L361,L428),"-")</f>
        <v>3.8054737557538958E-2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6">IFERROR(G134/SUM(G362,G429),"-")</f>
        <v>-</v>
      </c>
      <c r="H547" s="13" t="str">
        <f t="shared" si="586"/>
        <v>-</v>
      </c>
      <c r="I547" s="13" t="str">
        <f t="shared" si="586"/>
        <v>-</v>
      </c>
      <c r="J547" s="13" t="str">
        <f t="shared" si="586"/>
        <v>-</v>
      </c>
      <c r="K547" s="13" t="str">
        <f t="shared" si="586"/>
        <v>-</v>
      </c>
      <c r="L547" s="13" t="str">
        <f t="shared" ref="L547" si="587">IFERROR(L134/SUM(L362,L429),"-")</f>
        <v>-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6.1973971356448665E-2</v>
      </c>
      <c r="G548" s="13">
        <f t="shared" ref="G548:K548" si="588">IFERROR(G135/SUM(G363,G504),"-")</f>
        <v>6.1972882536304445E-2</v>
      </c>
      <c r="H548" s="13">
        <f t="shared" si="588"/>
        <v>6.1972650567355313E-2</v>
      </c>
      <c r="I548" s="13">
        <f t="shared" si="588"/>
        <v>6.1972650567355334E-2</v>
      </c>
      <c r="J548" s="13">
        <f t="shared" si="588"/>
        <v>6.1972650567355292E-2</v>
      </c>
      <c r="K548" s="13">
        <f t="shared" si="588"/>
        <v>6.1972650567355313E-2</v>
      </c>
      <c r="L548" s="13">
        <f t="shared" ref="L548" si="589">IFERROR(L135/SUM(L363,L504),"-")</f>
        <v>6.1972650567355327E-2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0">IFERROR(G136/SUM(G364,G505),"-")</f>
        <v>-</v>
      </c>
      <c r="H549" s="13" t="str">
        <f t="shared" si="590"/>
        <v>-</v>
      </c>
      <c r="I549" s="13" t="str">
        <f t="shared" si="590"/>
        <v>-</v>
      </c>
      <c r="J549" s="13" t="str">
        <f t="shared" si="590"/>
        <v>-</v>
      </c>
      <c r="K549" s="13" t="str">
        <f t="shared" si="590"/>
        <v>-</v>
      </c>
      <c r="L549" s="13" t="str">
        <f t="shared" ref="L549" si="591">IFERROR(L136/SUM(L364,L505),"-")</f>
        <v>-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0.24390904677888847</v>
      </c>
      <c r="G550" s="13">
        <f t="shared" ref="G550:K550" si="592">IFERROR(G152/SUM(G380,G437),"-")</f>
        <v>0.25013601790773232</v>
      </c>
      <c r="H550" s="13">
        <f t="shared" si="592"/>
        <v>0.25852271555639794</v>
      </c>
      <c r="I550" s="13">
        <f t="shared" si="592"/>
        <v>0.27507934611412177</v>
      </c>
      <c r="J550" s="13">
        <f t="shared" si="592"/>
        <v>0.29065632001345482</v>
      </c>
      <c r="K550" s="13">
        <f t="shared" si="592"/>
        <v>0.30623601797915334</v>
      </c>
      <c r="L550" s="13">
        <f t="shared" ref="L550" si="593">IFERROR(L152/SUM(L380,L437),"-")</f>
        <v>0.30588410945063682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4">IFERROR(G153/G381,"-")</f>
        <v>-</v>
      </c>
      <c r="H551" s="13" t="str">
        <f t="shared" si="594"/>
        <v>-</v>
      </c>
      <c r="I551" s="13" t="str">
        <f t="shared" si="594"/>
        <v>-</v>
      </c>
      <c r="J551" s="13" t="str">
        <f t="shared" si="594"/>
        <v>-</v>
      </c>
      <c r="K551" s="13">
        <f t="shared" si="594"/>
        <v>0</v>
      </c>
      <c r="L551" s="13">
        <f t="shared" ref="L551" si="595">IFERROR(L153/L381,"-")</f>
        <v>0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0.19762171433049253</v>
      </c>
      <c r="G552" s="13">
        <f t="shared" ref="G552:K552" si="596">IFERROR(G154/SUM(G382,G513),"-")</f>
        <v>0.22581697761616587</v>
      </c>
      <c r="H552" s="13">
        <f t="shared" si="596"/>
        <v>0.26805990957486658</v>
      </c>
      <c r="I552" s="13">
        <f t="shared" si="596"/>
        <v>0.33851062790629061</v>
      </c>
      <c r="J552" s="13">
        <f t="shared" si="596"/>
        <v>0.3458087811818637</v>
      </c>
      <c r="K552" s="13">
        <f t="shared" si="596"/>
        <v>0.35309310272326366</v>
      </c>
      <c r="L552" s="13">
        <f t="shared" ref="L552" si="597">IFERROR(L154/SUM(L382,L513),"-")</f>
        <v>0.36767497044853165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8">IFERROR(G155/SUM(G383,G514),"-")</f>
        <v>-</v>
      </c>
      <c r="H553" s="13" t="str">
        <f t="shared" si="598"/>
        <v>-</v>
      </c>
      <c r="I553" s="13" t="str">
        <f t="shared" si="598"/>
        <v>-</v>
      </c>
      <c r="J553" s="13" t="str">
        <f t="shared" si="598"/>
        <v>-</v>
      </c>
      <c r="K553" s="13">
        <f t="shared" si="598"/>
        <v>0</v>
      </c>
      <c r="L553" s="13">
        <f t="shared" ref="L553" si="599">IFERROR(L155/SUM(L383,L514),"-")</f>
        <v>0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0">IFERROR(G156/SUM(G384,G515),"-")</f>
        <v>-</v>
      </c>
      <c r="H554" s="13" t="str">
        <f t="shared" si="600"/>
        <v>-</v>
      </c>
      <c r="I554" s="13" t="str">
        <f t="shared" si="600"/>
        <v>-</v>
      </c>
      <c r="J554" s="13">
        <f t="shared" si="600"/>
        <v>0.20237325516871474</v>
      </c>
      <c r="K554" s="13">
        <f t="shared" si="600"/>
        <v>0.22110328352694328</v>
      </c>
      <c r="L554" s="13">
        <f t="shared" ref="L554" si="601">IFERROR(L156/SUM(L384,L515),"-")</f>
        <v>0.1951480571041446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2">IFERROR(G157/SUM(G385,G516),"-")</f>
        <v>-</v>
      </c>
      <c r="H555" s="13" t="str">
        <f t="shared" si="602"/>
        <v>-</v>
      </c>
      <c r="I555" s="13" t="str">
        <f t="shared" si="602"/>
        <v>-</v>
      </c>
      <c r="J555" s="13">
        <f t="shared" si="602"/>
        <v>0.23946650241523362</v>
      </c>
      <c r="K555" s="13">
        <f t="shared" si="602"/>
        <v>0.243882475519624</v>
      </c>
      <c r="L555" s="13">
        <f t="shared" ref="L555" si="603">IFERROR(L157/SUM(L385,L516),"-")</f>
        <v>0.24994774920295865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4">IFERROR(G158/SUM(G386,G517),"-")</f>
        <v>-</v>
      </c>
      <c r="H556" s="13" t="str">
        <f t="shared" si="604"/>
        <v>-</v>
      </c>
      <c r="I556" s="13" t="str">
        <f t="shared" si="604"/>
        <v>-</v>
      </c>
      <c r="J556" s="13">
        <f t="shared" si="604"/>
        <v>0.29770704314828345</v>
      </c>
      <c r="K556" s="13">
        <f t="shared" si="604"/>
        <v>0.30683968919546045</v>
      </c>
      <c r="L556" s="13">
        <f t="shared" ref="L556" si="605">IFERROR(L158/SUM(L386,L517),"-")</f>
        <v>0.24584511898246728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6">IFERROR(G168/G396,"-")</f>
        <v>-</v>
      </c>
      <c r="H563" s="13" t="str">
        <f t="shared" si="606"/>
        <v>-</v>
      </c>
      <c r="I563" s="13" t="str">
        <f t="shared" si="606"/>
        <v>-</v>
      </c>
      <c r="J563" s="13" t="str">
        <f t="shared" si="606"/>
        <v>-</v>
      </c>
      <c r="K563" s="13">
        <f t="shared" si="606"/>
        <v>0.14999999999999997</v>
      </c>
      <c r="L563" s="13">
        <f t="shared" ref="L563" si="607">IFERROR(L168/L396,"-")</f>
        <v>0.15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8">IFERROR(G170/SUM(G398,G439),"-")</f>
        <v>-</v>
      </c>
      <c r="H564" s="13" t="str">
        <f t="shared" si="608"/>
        <v>-</v>
      </c>
      <c r="I564" s="13" t="str">
        <f t="shared" si="608"/>
        <v>-</v>
      </c>
      <c r="J564" s="13" t="str">
        <f t="shared" si="608"/>
        <v>-</v>
      </c>
      <c r="K564" s="13" t="str">
        <f t="shared" si="608"/>
        <v>-</v>
      </c>
      <c r="L564" s="13" t="str">
        <f t="shared" ref="L564" si="609">IFERROR(L170/SUM(L398,L439),"-")</f>
        <v>-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0">IFERROR(G171/SUM(G399,G519),"-")</f>
        <v>-</v>
      </c>
      <c r="H565" s="13" t="str">
        <f t="shared" si="610"/>
        <v>-</v>
      </c>
      <c r="I565" s="13" t="str">
        <f t="shared" si="610"/>
        <v>-</v>
      </c>
      <c r="J565" s="13" t="str">
        <f t="shared" si="610"/>
        <v>-</v>
      </c>
      <c r="K565" s="13" t="str">
        <f t="shared" si="610"/>
        <v>-</v>
      </c>
      <c r="L565" s="13" t="str">
        <f t="shared" ref="L565" si="611">IFERROR(L171/SUM(L399,L519),"-")</f>
        <v>-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2">IFERROR(G172/SUM(G400,G520),"-")</f>
        <v>-</v>
      </c>
      <c r="H566" s="13" t="str">
        <f t="shared" si="612"/>
        <v>-</v>
      </c>
      <c r="I566" s="13" t="str">
        <f t="shared" si="612"/>
        <v>-</v>
      </c>
      <c r="J566" s="13" t="str">
        <f t="shared" si="612"/>
        <v>-</v>
      </c>
      <c r="K566" s="13" t="str">
        <f t="shared" si="612"/>
        <v>-</v>
      </c>
      <c r="L566" s="13" t="str">
        <f t="shared" ref="L566" si="613">IFERROR(L172/SUM(L400,L520),"-")</f>
        <v>-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4">IFERROR(F174/F402,"-")</f>
        <v>0.69997602643025225</v>
      </c>
      <c r="G567" s="13">
        <f t="shared" si="614"/>
        <v>0.69968562449135152</v>
      </c>
      <c r="H567" s="13">
        <f t="shared" si="614"/>
        <v>0.69999905674312768</v>
      </c>
      <c r="I567" s="13">
        <f t="shared" si="614"/>
        <v>0.69998592812010052</v>
      </c>
      <c r="J567" s="13">
        <f t="shared" si="614"/>
        <v>0.69927858093576367</v>
      </c>
      <c r="K567" s="13">
        <f t="shared" si="614"/>
        <v>0.69889714393603231</v>
      </c>
      <c r="L567" s="13">
        <f t="shared" ref="L567" si="615">IFERROR(L174/L402,"-")</f>
        <v>0.69928663428763727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4"/>
        <v>0.86258709479520934</v>
      </c>
      <c r="G568" s="13">
        <f t="shared" si="614"/>
        <v>0.86344349171337498</v>
      </c>
      <c r="H568" s="13">
        <f t="shared" si="614"/>
        <v>0.86703803853665207</v>
      </c>
      <c r="I568" s="13">
        <f t="shared" si="614"/>
        <v>0.8670338403961394</v>
      </c>
      <c r="J568" s="13">
        <f t="shared" si="614"/>
        <v>0.86701769463080947</v>
      </c>
      <c r="K568" s="13">
        <f t="shared" si="614"/>
        <v>0.86701885713765903</v>
      </c>
      <c r="L568" s="13">
        <f t="shared" ref="L568" si="616">IFERROR(L175/L403,"-")</f>
        <v>0.86703783725703587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4"/>
        <v>0.89426967500005494</v>
      </c>
      <c r="G569" s="13">
        <f t="shared" si="614"/>
        <v>0.8941152476612505</v>
      </c>
      <c r="H569" s="13">
        <f t="shared" si="614"/>
        <v>0.89425395618097969</v>
      </c>
      <c r="I569" s="13">
        <f t="shared" si="614"/>
        <v>0.8942557529211288</v>
      </c>
      <c r="J569" s="13">
        <f t="shared" si="614"/>
        <v>0.89426334968149457</v>
      </c>
      <c r="K569" s="13">
        <f t="shared" si="614"/>
        <v>0.89423001546823977</v>
      </c>
      <c r="L569" s="13">
        <f t="shared" ref="L569" si="617">IFERROR(L176/L404,"-")</f>
        <v>0.89426877278714823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4"/>
        <v>0.90154274744700214</v>
      </c>
      <c r="G570" s="13">
        <f t="shared" si="614"/>
        <v>0.89881623179568626</v>
      </c>
      <c r="H570" s="13">
        <f t="shared" si="614"/>
        <v>0.90426696752052993</v>
      </c>
      <c r="I570" s="13">
        <f t="shared" si="614"/>
        <v>0.90426834936776779</v>
      </c>
      <c r="J570" s="13">
        <f t="shared" si="614"/>
        <v>0.90426760156464625</v>
      </c>
      <c r="K570" s="13">
        <f t="shared" si="614"/>
        <v>0.90425314804122414</v>
      </c>
      <c r="L570" s="13">
        <f t="shared" ref="L570" si="618">IFERROR(L177/L405,"-")</f>
        <v>0.90426753058172338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4"/>
        <v>0.8974552484160595</v>
      </c>
      <c r="G571" s="13">
        <f t="shared" si="614"/>
        <v>0.8988341210016757</v>
      </c>
      <c r="H571" s="13">
        <f t="shared" si="614"/>
        <v>0.90426700483222311</v>
      </c>
      <c r="I571" s="13">
        <f t="shared" si="614"/>
        <v>0.90426377335681574</v>
      </c>
      <c r="J571" s="13">
        <f t="shared" si="614"/>
        <v>0.90426631093957055</v>
      </c>
      <c r="K571" s="13">
        <f t="shared" si="614"/>
        <v>0.90421853877686631</v>
      </c>
      <c r="L571" s="13">
        <f t="shared" ref="L571" si="619">IFERROR(L178/L406,"-")</f>
        <v>0.90426637339143068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4"/>
        <v>0.89732347305979399</v>
      </c>
      <c r="G572" s="13">
        <f t="shared" si="614"/>
        <v>0.89872850638443835</v>
      </c>
      <c r="H572" s="13">
        <f t="shared" si="614"/>
        <v>0.9042647479341559</v>
      </c>
      <c r="I572" s="13">
        <f t="shared" si="614"/>
        <v>0.90425460099221244</v>
      </c>
      <c r="J572" s="13">
        <f t="shared" si="614"/>
        <v>0.90426091389075891</v>
      </c>
      <c r="K572" s="13">
        <f t="shared" si="614"/>
        <v>0.9042122296834153</v>
      </c>
      <c r="L572" s="13">
        <f t="shared" ref="L572" si="620">IFERROR(L179/L407,"-")</f>
        <v>0.90426095029767928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4"/>
        <v>0.89751524445077058</v>
      </c>
      <c r="G573" s="13">
        <f t="shared" si="614"/>
        <v>0.89888415033470803</v>
      </c>
      <c r="H573" s="13">
        <f t="shared" si="614"/>
        <v>0.90426870793107383</v>
      </c>
      <c r="I573" s="13">
        <f t="shared" si="614"/>
        <v>0.90426698724864307</v>
      </c>
      <c r="J573" s="13">
        <f t="shared" si="614"/>
        <v>0.90426824081642954</v>
      </c>
      <c r="K573" s="13">
        <f t="shared" si="614"/>
        <v>0.90426262907864396</v>
      </c>
      <c r="L573" s="13">
        <f t="shared" ref="L573" si="621">IFERROR(L180/L408,"-")</f>
        <v>0.90426831507426175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0.59933762677181668</v>
      </c>
      <c r="G575" s="4">
        <f t="shared" ref="G575:K575" si="622">IFERROR(G212/G442,"-")</f>
        <v>0.57980077519558559</v>
      </c>
      <c r="H575" s="4">
        <f t="shared" si="622"/>
        <v>0.51693111938837</v>
      </c>
      <c r="I575" s="4">
        <f t="shared" si="622"/>
        <v>0.66493132384340403</v>
      </c>
      <c r="J575" s="4">
        <f t="shared" si="622"/>
        <v>0.63808436164087523</v>
      </c>
      <c r="K575" s="4">
        <f t="shared" si="622"/>
        <v>0.65469461572253429</v>
      </c>
      <c r="L575" s="4">
        <f t="shared" ref="L575" si="623">IFERROR(L212/L442,"-")</f>
        <v>0.58819545045245092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4">IFERROR(G218/G448,"-")</f>
        <v>2</v>
      </c>
      <c r="H576" s="4">
        <f t="shared" si="624"/>
        <v>2</v>
      </c>
      <c r="I576" s="4">
        <f t="shared" si="624"/>
        <v>2</v>
      </c>
      <c r="J576" s="4">
        <f t="shared" si="624"/>
        <v>2</v>
      </c>
      <c r="K576" s="4">
        <f t="shared" si="624"/>
        <v>2</v>
      </c>
      <c r="L576" s="4">
        <f t="shared" ref="L576" si="625">IFERROR(L218/L448,"-")</f>
        <v>26.814960890349202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0.8544550111113246</v>
      </c>
      <c r="G577" s="4">
        <f t="shared" ref="G577:K577" si="626">IFERROR(G220/G450,"-")</f>
        <v>0.85445501111132471</v>
      </c>
      <c r="H577" s="4">
        <f t="shared" si="626"/>
        <v>0.85445501111132482</v>
      </c>
      <c r="I577" s="4">
        <f t="shared" si="626"/>
        <v>0.85445501111132549</v>
      </c>
      <c r="J577" s="4">
        <f t="shared" si="626"/>
        <v>0.85445501111132582</v>
      </c>
      <c r="K577" s="4">
        <f t="shared" si="626"/>
        <v>0.85445501111132527</v>
      </c>
      <c r="L577" s="4">
        <f t="shared" ref="L577" si="627">IFERROR(L220/L450,"-")</f>
        <v>0.85445501111132449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</v>
      </c>
      <c r="G578" s="4">
        <f t="shared" ref="G578:K578" si="628">IFERROR(G226/G456,"-")</f>
        <v>0.6999999999999994</v>
      </c>
      <c r="H578" s="4">
        <f t="shared" si="628"/>
        <v>0.70000000000000018</v>
      </c>
      <c r="I578" s="4">
        <f t="shared" si="628"/>
        <v>0.7</v>
      </c>
      <c r="J578" s="4">
        <f t="shared" si="628"/>
        <v>0.69999999999999951</v>
      </c>
      <c r="K578" s="4">
        <f t="shared" si="628"/>
        <v>0.69999999999999929</v>
      </c>
      <c r="L578" s="4">
        <f t="shared" ref="L578" si="629">IFERROR(L226/L456,"-")</f>
        <v>0.70000000000000084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0">IFERROR(G228/G458,"-")</f>
        <v>-</v>
      </c>
      <c r="H579" t="str">
        <f t="shared" si="630"/>
        <v>-</v>
      </c>
      <c r="I579">
        <f t="shared" si="630"/>
        <v>0.50000000000000067</v>
      </c>
      <c r="J579">
        <f t="shared" si="630"/>
        <v>0.50000000000000011</v>
      </c>
      <c r="K579">
        <f t="shared" si="630"/>
        <v>0.49999999999999983</v>
      </c>
      <c r="L579">
        <f t="shared" ref="L579" si="631">IFERROR(L228/L458,"-")</f>
        <v>0.49999999999999983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2">IFERROR(G230/G460,"-")</f>
        <v>-</v>
      </c>
      <c r="H580" t="str">
        <f t="shared" si="632"/>
        <v>-</v>
      </c>
      <c r="I580" t="str">
        <f t="shared" si="632"/>
        <v>-</v>
      </c>
      <c r="J580" t="str">
        <f t="shared" si="632"/>
        <v>-</v>
      </c>
      <c r="K580">
        <f t="shared" si="632"/>
        <v>0.84999999999999942</v>
      </c>
      <c r="L580">
        <f t="shared" ref="L580" si="633">IFERROR(L230/L460,"-")</f>
        <v>0.84999999999999976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4">IFERROR(G232/G462,"-")</f>
        <v>3.0000000000000013</v>
      </c>
      <c r="H581" s="4">
        <f t="shared" si="634"/>
        <v>2.9999999999999969</v>
      </c>
      <c r="I581" s="4">
        <f t="shared" si="634"/>
        <v>3.0000000000000009</v>
      </c>
      <c r="J581" s="4">
        <f t="shared" si="634"/>
        <v>3</v>
      </c>
      <c r="K581" s="4">
        <f t="shared" si="634"/>
        <v>2.9999999999999973</v>
      </c>
      <c r="L581" s="4">
        <f t="shared" ref="L581" si="635">IFERROR(L232/L462,"-")</f>
        <v>2.9999999999999969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0.64505964940675253</v>
      </c>
      <c r="G582" s="3">
        <f>[1]Other_transformation!C$5</f>
        <v>0.63725221790630937</v>
      </c>
      <c r="H582" s="3">
        <f>[1]Other_transformation!D$5</f>
        <v>1.2038229470264161</v>
      </c>
      <c r="I582" s="3">
        <f>[1]Other_transformation!E$5</f>
        <v>4.0322246870264504E-5</v>
      </c>
      <c r="J582" s="3">
        <f>[2]Other_transformation!F$5</f>
        <v>1.5928320859153944E-5</v>
      </c>
      <c r="K582" s="3">
        <f>[2]Other_transformation!G$5</f>
        <v>1.2584585716970432E-5</v>
      </c>
      <c r="L582" s="3">
        <f>[2]Other_transformation!H$5</f>
        <v>1.4070953085286726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0.64505964940675253</v>
      </c>
      <c r="G583" s="1">
        <f t="shared" ref="G583:K583" si="636">G582</f>
        <v>0.63725221790630937</v>
      </c>
      <c r="H583" s="1">
        <f t="shared" si="636"/>
        <v>1.2038229470264161</v>
      </c>
      <c r="I583" s="1">
        <f t="shared" si="636"/>
        <v>4.0322246870264504E-5</v>
      </c>
      <c r="J583" s="1">
        <f t="shared" si="636"/>
        <v>1.5928320859153944E-5</v>
      </c>
      <c r="K583" s="1">
        <f t="shared" si="636"/>
        <v>1.2584585716970432E-5</v>
      </c>
      <c r="L583" s="1">
        <f t="shared" ref="L583" si="637">L582</f>
        <v>1.4070953085286726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0.64505964940675253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0.63725221790630937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1.2038229470264161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4.0322246870264504E-5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1.5928320859153944E-5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1.2584585716970432E-5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1.4070953085286726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0.251573263268633</v>
      </c>
      <c r="G586" s="3">
        <f t="shared" ref="G586:L586" si="638">G587</f>
        <v>0.24852836498346009</v>
      </c>
      <c r="H586" s="3">
        <f t="shared" si="638"/>
        <v>0.46949094934030172</v>
      </c>
      <c r="I586" s="3">
        <f t="shared" si="638"/>
        <v>1.5725676279403134E-5</v>
      </c>
      <c r="J586" s="3">
        <f t="shared" si="638"/>
        <v>6.2120451350700284E-6</v>
      </c>
      <c r="K586" s="3">
        <f t="shared" si="638"/>
        <v>4.9079884296184633E-6</v>
      </c>
      <c r="L586" s="3">
        <f t="shared" si="638"/>
        <v>0.54876717032618105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0.251573263268633</v>
      </c>
      <c r="G587" s="1">
        <f t="shared" ref="G587:K587" si="639">SUM(G588:G589)</f>
        <v>0.24852836498346009</v>
      </c>
      <c r="H587" s="1">
        <f t="shared" si="639"/>
        <v>0.46949094934030172</v>
      </c>
      <c r="I587" s="1">
        <f t="shared" si="639"/>
        <v>1.5725676279403134E-5</v>
      </c>
      <c r="J587" s="1">
        <f t="shared" si="639"/>
        <v>6.2120451350700284E-6</v>
      </c>
      <c r="K587" s="1">
        <f t="shared" si="639"/>
        <v>4.9079884296184633E-6</v>
      </c>
      <c r="L587" s="1">
        <f t="shared" ref="L587" si="640">SUM(L588:L589)</f>
        <v>0.54876717032618105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0.251573263268633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0.24852836498346009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0.46949094934030172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1.5725676279403134E-5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6.2120451350700284E-6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4.9079884296184633E-6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0.54876717032618105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1.8829291166183095</v>
      </c>
      <c r="G590" s="3">
        <f t="shared" ref="G590:K590" si="641">G591+G594</f>
        <v>1.860139224068516</v>
      </c>
      <c r="H590" s="3">
        <f t="shared" si="641"/>
        <v>3.5139591823701104</v>
      </c>
      <c r="I590" s="3">
        <f t="shared" si="641"/>
        <v>1.1770063861430201E-4</v>
      </c>
      <c r="J590" s="3">
        <f t="shared" si="641"/>
        <v>4.6494768587870342E-5</v>
      </c>
      <c r="K590" s="3">
        <f t="shared" si="641"/>
        <v>3.6734405707836627E-5</v>
      </c>
      <c r="L590" s="3">
        <f t="shared" ref="L590" si="642">L591+L594</f>
        <v>4.1073112055951917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1.8380974709845401</v>
      </c>
      <c r="G591" s="1">
        <f t="shared" ref="G591:K591" si="643">SUM(G592:G593)</f>
        <v>1.8158501949240275</v>
      </c>
      <c r="H591" s="1">
        <f t="shared" si="643"/>
        <v>3.4302934875517743</v>
      </c>
      <c r="I591" s="1">
        <f t="shared" si="643"/>
        <v>1.1489824245681863E-4</v>
      </c>
      <c r="J591" s="1">
        <f t="shared" si="643"/>
        <v>4.5387750288159148E-5</v>
      </c>
      <c r="K591" s="1">
        <f t="shared" si="643"/>
        <v>3.5859777000507185E-5</v>
      </c>
      <c r="L591" s="1">
        <f t="shared" ref="L591" si="644">SUM(L592:L593)</f>
        <v>4.0095180816524492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1.8380974709845401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1.8158501949240275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3.4302934875517743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1.1489824245681863E-4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4.5387750288159148E-5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3.5859777000507185E-5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4.0095180816524492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4.4831645633769304E-2</v>
      </c>
      <c r="G594" s="1">
        <f t="shared" ref="G594:K594" si="645">SUM(G595:G596)</f>
        <v>4.4289029144488491E-2</v>
      </c>
      <c r="H594" s="1">
        <f t="shared" si="645"/>
        <v>8.3665694818335967E-2</v>
      </c>
      <c r="I594" s="1">
        <f t="shared" si="645"/>
        <v>2.8023961574833818E-6</v>
      </c>
      <c r="J594" s="1">
        <f t="shared" si="645"/>
        <v>1.1070182997111978E-6</v>
      </c>
      <c r="K594" s="1">
        <f t="shared" si="645"/>
        <v>8.7462870732944479E-7</v>
      </c>
      <c r="L594" s="1">
        <f t="shared" ref="L594" si="646">SUM(L595:L596)</f>
        <v>9.7793123942742685E-2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4.4831645633769304E-2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4.4289029144488491E-2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8.3665694818335967E-2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2.8023961574833818E-6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1.1070182997111978E-6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8.7462870732944479E-7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9.7793123942742685E-2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47">IFERROR(SUM(G584,G588)/SUM(G592,G595),"-")</f>
        <v>0.47619047619047616</v>
      </c>
      <c r="H598" s="4">
        <f t="shared" si="647"/>
        <v>0.47619047619047578</v>
      </c>
      <c r="I598" s="4">
        <f t="shared" si="647"/>
        <v>0.47619047619047628</v>
      </c>
      <c r="J598" s="4">
        <f t="shared" si="647"/>
        <v>0.47619047619047622</v>
      </c>
      <c r="K598" s="4">
        <f t="shared" si="647"/>
        <v>0.47619047619047689</v>
      </c>
      <c r="L598" s="4">
        <f t="shared" ref="L598" si="648">IFERROR(SUM(L584,L588)/SUM(L592,L595),"-")</f>
        <v>0.47619047619047633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7"/>
        <v>-</v>
      </c>
      <c r="H599" s="4" t="str">
        <f t="shared" si="647"/>
        <v>-</v>
      </c>
      <c r="I599" s="4" t="str">
        <f t="shared" si="647"/>
        <v>-</v>
      </c>
      <c r="J599" s="4" t="str">
        <f t="shared" si="647"/>
        <v>-</v>
      </c>
      <c r="K599" s="4" t="str">
        <f t="shared" si="647"/>
        <v>-</v>
      </c>
      <c r="L599" s="4" t="str">
        <f t="shared" ref="L599" si="649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0.22985656360389739</v>
      </c>
      <c r="G600" s="1">
        <f>[1]Other_transformation!C$12</f>
        <v>1.1249629377452704E-5</v>
      </c>
      <c r="H600" s="1">
        <f>[1]Other_transformation!D$12</f>
        <v>0.22985781698420915</v>
      </c>
      <c r="I600" s="1">
        <f>[1]Other_transformation!E$12</f>
        <v>1.8346684366102156E-5</v>
      </c>
      <c r="J600" s="1">
        <f>[2]Other_transformation!F$12</f>
        <v>1.4144207296893224E-5</v>
      </c>
      <c r="K600" s="1">
        <f>[2]Other_transformation!G$12</f>
        <v>6.1234838018875422E-6</v>
      </c>
      <c r="L600" s="1">
        <f>[2]Other_transformation!H$12</f>
        <v>3.4683613139299159E-5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0.22985656360389739</v>
      </c>
      <c r="G601" s="1">
        <f t="shared" ref="G601:K601" si="650">SUM(G602:G603)</f>
        <v>1.1249629377452704E-5</v>
      </c>
      <c r="H601" s="1">
        <f t="shared" si="650"/>
        <v>0.22985781698420915</v>
      </c>
      <c r="I601" s="1">
        <f t="shared" si="650"/>
        <v>1.8346684366102156E-5</v>
      </c>
      <c r="J601" s="1">
        <f t="shared" si="650"/>
        <v>1.4144207296893224E-5</v>
      </c>
      <c r="K601" s="1">
        <f t="shared" si="650"/>
        <v>6.1234838018875422E-6</v>
      </c>
      <c r="L601" s="1">
        <f t="shared" ref="L601" si="651">SUM(L602:L603)</f>
        <v>3.4683613139299159E-5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2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0.22985656360389739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1.1249629377452704E-5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0.22985781698420915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1.8346684366102156E-5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1.4144207296893224E-5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6.1234838018875422E-6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3.4683613139299159E-5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2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0.85736498224253666</v>
      </c>
      <c r="G604" s="3">
        <f t="shared" ref="G604:K604" si="653">G605+G608</f>
        <v>4.1961117577898589E-5</v>
      </c>
      <c r="H604" s="3">
        <f t="shared" si="653"/>
        <v>0.85736965735110049</v>
      </c>
      <c r="I604" s="3">
        <f t="shared" si="653"/>
        <v>6.8433132685561106E-5</v>
      </c>
      <c r="J604" s="3">
        <f t="shared" si="653"/>
        <v>5.2757893217411693E-5</v>
      </c>
      <c r="K604" s="3">
        <f t="shared" si="653"/>
        <v>2.2840594581040522E-5</v>
      </c>
      <c r="L604" s="3">
        <f t="shared" ref="L604" si="654">L605+L608</f>
        <v>1.2936987700958572E-4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0.4804002179321451</v>
      </c>
      <c r="G605" s="1">
        <f t="shared" ref="G605:K605" si="655">SUM(G606:G607)</f>
        <v>2.3511725398876152E-5</v>
      </c>
      <c r="H605" s="1">
        <f t="shared" si="655"/>
        <v>0.48040283749699741</v>
      </c>
      <c r="I605" s="1">
        <f t="shared" si="655"/>
        <v>3.8344570325153522E-5</v>
      </c>
      <c r="J605" s="1">
        <f t="shared" si="655"/>
        <v>2.9561393250506815E-5</v>
      </c>
      <c r="K605" s="1">
        <f t="shared" si="655"/>
        <v>1.2798081145944954E-5</v>
      </c>
      <c r="L605" s="1">
        <f t="shared" ref="L605" si="656">SUM(L606:L607)</f>
        <v>7.2488751461135113E-5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0.4804002179321451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2.3511725398876152E-5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0.48040283749699741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3.8344570325153522E-5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2.9561393250506815E-5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1.2798081145944954E-5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7.2488751461135113E-5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0.37696476431039161</v>
      </c>
      <c r="G608" s="1">
        <f t="shared" ref="G608:K608" si="657">SUM(G609:G610)</f>
        <v>1.8449392179022438E-5</v>
      </c>
      <c r="H608" s="1">
        <f t="shared" si="657"/>
        <v>0.37696681985410307</v>
      </c>
      <c r="I608" s="1">
        <f t="shared" si="657"/>
        <v>3.0088562360407584E-5</v>
      </c>
      <c r="J608" s="1">
        <f t="shared" si="657"/>
        <v>2.3196499966904878E-5</v>
      </c>
      <c r="K608" s="1">
        <f t="shared" si="657"/>
        <v>1.0042513435095566E-5</v>
      </c>
      <c r="L608" s="1">
        <f t="shared" ref="L608" si="658">SUM(L609:L610)</f>
        <v>5.6881125548450596E-5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0.37696476431039161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1.8449392179022438E-5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0.37696681985410307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3.0088562360407584E-5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2.3196499966904878E-5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1.0042513435095566E-5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5.6881125548450596E-5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0.26809651474530849</v>
      </c>
      <c r="G612">
        <f t="shared" ref="G612:K613" si="659">IFERROR(G602/SUM(G606,G609),"-")</f>
        <v>0.26809651474530827</v>
      </c>
      <c r="H612">
        <f t="shared" si="659"/>
        <v>0.26809651474530821</v>
      </c>
      <c r="I612">
        <f t="shared" si="659"/>
        <v>0.26809651474530805</v>
      </c>
      <c r="J612">
        <f t="shared" si="659"/>
        <v>0.26809651474530849</v>
      </c>
      <c r="K612">
        <f t="shared" si="659"/>
        <v>0.26809651474530843</v>
      </c>
      <c r="L612">
        <f t="shared" ref="L612" si="660">IFERROR(L602/SUM(L606,L609),"-")</f>
        <v>0.2680965147453086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59"/>
        <v>-</v>
      </c>
      <c r="H613" t="str">
        <f t="shared" si="659"/>
        <v>-</v>
      </c>
      <c r="I613" t="str">
        <f t="shared" si="659"/>
        <v>-</v>
      </c>
      <c r="J613" t="str">
        <f t="shared" si="659"/>
        <v>-</v>
      </c>
      <c r="K613" t="str">
        <f t="shared" si="659"/>
        <v>-</v>
      </c>
      <c r="L613" t="str">
        <f t="shared" ref="L613" si="661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6.9574149547390007</v>
      </c>
      <c r="G614" s="3">
        <f t="shared" ref="G614" si="662">G615+G616+G621</f>
        <v>10.474469408903911</v>
      </c>
      <c r="H614" s="3">
        <f t="shared" ref="H614" si="663">H615+H616+H621</f>
        <v>10.413843643825615</v>
      </c>
      <c r="I614" s="3">
        <f t="shared" ref="I614" si="664">I615+I616+I621</f>
        <v>10.603597215622086</v>
      </c>
      <c r="J614" s="3">
        <f t="shared" ref="J614" si="665">J615+J616+J621</f>
        <v>10.176030633544453</v>
      </c>
      <c r="K614" s="3">
        <f t="shared" ref="K614:L614" si="666">K615+K616+K621</f>
        <v>10.015661962025499</v>
      </c>
      <c r="L614" s="3">
        <f t="shared" si="666"/>
        <v>9.6942247421813885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1.3280019752265102</v>
      </c>
      <c r="G615" s="1">
        <f>[1]Other_transformation!C$19</f>
        <v>4.2362056033759155</v>
      </c>
      <c r="H615" s="1">
        <f>[1]Other_transformation!D$19</f>
        <v>4.3847312883975667</v>
      </c>
      <c r="I615" s="1">
        <f>[1]Other_transformation!E$19</f>
        <v>4.384764263299056</v>
      </c>
      <c r="J615" s="1">
        <f>[2]Other_transformation!F$19</f>
        <v>4.384764690095313</v>
      </c>
      <c r="K615" s="1">
        <f>[2]Other_transformation!G$19</f>
        <v>4.3851031629594566</v>
      </c>
      <c r="L615" s="1">
        <f>[2]Other_transformation!H$19</f>
        <v>4.3851033366113663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5.629412979512491</v>
      </c>
      <c r="G616" s="1">
        <f>[1]Other_transformation!C$20</f>
        <v>6.2382338806993749</v>
      </c>
      <c r="H616" s="1">
        <f>[1]Other_transformation!D$20</f>
        <v>6.029047941182804</v>
      </c>
      <c r="I616" s="1">
        <f>[1]Other_transformation!E$20</f>
        <v>6.2187592720217086</v>
      </c>
      <c r="J616" s="1">
        <f>[2]Other_transformation!F$20</f>
        <v>5.7912321003075373</v>
      </c>
      <c r="K616" s="1">
        <f>[2]Other_transformation!G$20</f>
        <v>5.6305246471519235</v>
      </c>
      <c r="L616" s="1">
        <f>[2]Other_transformation!H$20</f>
        <v>5.3090770270600665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5.629412979512491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6.2382338806993749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6.029047941182804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6.2187592720217086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5.7912321003075373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5.6304475481975098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5.3090039540438276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7.7098954413672835E-5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7.3073016238859077E-5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2.9924828619671559E-5</v>
      </c>
      <c r="H621" s="1">
        <f>[1]Other_transformation!D$21</f>
        <v>6.4414245245076102E-5</v>
      </c>
      <c r="I621" s="1">
        <f>[1]Other_transformation!E$21</f>
        <v>7.3680301321450307E-5</v>
      </c>
      <c r="J621" s="1">
        <f>[2]Other_transformation!F$21</f>
        <v>3.3843141602637345E-5</v>
      </c>
      <c r="K621" s="1">
        <f>[2]Other_transformation!G$21</f>
        <v>3.4151914119918363E-5</v>
      </c>
      <c r="L621" s="1">
        <f>[2]Other_transformation!H$21</f>
        <v>4.4378509955864003E-5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2.9924828619671559E-5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6.4414245245076102E-5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7.3680301321450307E-5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3.3843141602637345E-5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3.4151914119918363E-5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4.4378509955864003E-5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0.11258825959024969</v>
      </c>
      <c r="G624" s="3">
        <f t="shared" ref="G624" si="667">G625+G626+G631</f>
        <v>0.1247646776139875</v>
      </c>
      <c r="H624" s="3">
        <f t="shared" ref="H624" si="668">H625+H626+H631</f>
        <v>0.12058239273330085</v>
      </c>
      <c r="I624" s="3">
        <f t="shared" ref="I624" si="669">I625+I626+I631</f>
        <v>0.12437689227789143</v>
      </c>
      <c r="J624" s="3">
        <f t="shared" ref="J624" si="670">J625+J626+J631</f>
        <v>0.11582464200615063</v>
      </c>
      <c r="K624" s="3">
        <f t="shared" ref="K624:L624" si="671">K625+K626+K631</f>
        <v>0.11260895096395032</v>
      </c>
      <c r="L624" s="3">
        <f t="shared" si="671"/>
        <v>0.10618128458525534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0.11258825959024969</v>
      </c>
      <c r="G626" s="1">
        <f t="shared" ref="G626:K626" si="672">SUM(G627:G630)</f>
        <v>0.1247646776139875</v>
      </c>
      <c r="H626" s="1">
        <f t="shared" si="672"/>
        <v>0.12058095882365599</v>
      </c>
      <c r="I626" s="1">
        <f t="shared" si="672"/>
        <v>0.12437518544043411</v>
      </c>
      <c r="J626" s="1">
        <f t="shared" si="672"/>
        <v>0.11582464200615063</v>
      </c>
      <c r="K626" s="1">
        <f t="shared" si="672"/>
        <v>0.11260895096395032</v>
      </c>
      <c r="L626" s="1">
        <f t="shared" ref="L626" si="673">SUM(L627:L630)</f>
        <v>0.10618007908087655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0.11258825959024969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0.1247646776139875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0.12058095882365599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0.12437518544043411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0.11582464200615063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0.11260895096395032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0.10618007908087655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4">SUM(G632:G633)</f>
        <v>0</v>
      </c>
      <c r="H631" s="1">
        <f t="shared" si="674"/>
        <v>1.4339096448499721E-6</v>
      </c>
      <c r="I631" s="1">
        <f t="shared" si="674"/>
        <v>1.7068374573268985E-6</v>
      </c>
      <c r="J631" s="1">
        <f t="shared" si="674"/>
        <v>0</v>
      </c>
      <c r="K631" s="1">
        <f t="shared" si="674"/>
        <v>0</v>
      </c>
      <c r="L631" s="1">
        <f t="shared" ref="L631" si="675">SUM(L632:L633)</f>
        <v>1.2055043787867822E-6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1.4339096448499721E-6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1.7068374573268985E-6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1.2055043787867822E-6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6">G635+G636+G641</f>
        <v>3.590979434360588E-6</v>
      </c>
      <c r="H634" s="3">
        <f t="shared" ref="H634" si="677">H635+H636+H641</f>
        <v>7.7297094294091306E-6</v>
      </c>
      <c r="I634" s="3">
        <f t="shared" ref="I634" si="678">I635+I636+I641</f>
        <v>8.8416361585740396E-6</v>
      </c>
      <c r="J634" s="3">
        <f t="shared" ref="J634" si="679">J635+J636+J641</f>
        <v>3.841939021635431E-6</v>
      </c>
      <c r="K634" s="3">
        <f t="shared" ref="K634:L634" si="680">K635+K636+K641</f>
        <v>2.9175503723810871E-6</v>
      </c>
      <c r="L634" s="3">
        <f t="shared" si="680"/>
        <v>3.8650938782006872E-6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1">SUM(G637:G640)</f>
        <v>0</v>
      </c>
      <c r="H636" s="1">
        <f t="shared" ref="H636" si="682">SUM(H637:H640)</f>
        <v>0</v>
      </c>
      <c r="I636" s="1">
        <f t="shared" ref="I636" si="683">SUM(I637:I640)</f>
        <v>0</v>
      </c>
      <c r="J636" s="1">
        <f t="shared" ref="J636" si="684">SUM(J637:J640)</f>
        <v>0</v>
      </c>
      <c r="K636" s="1">
        <f t="shared" ref="K636:L636" si="685">SUM(K637:K640)</f>
        <v>0</v>
      </c>
      <c r="L636" s="1">
        <f t="shared" si="685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6">SUM(G642:G643)</f>
        <v>3.590979434360588E-6</v>
      </c>
      <c r="H641" s="1">
        <f t="shared" ref="H641" si="687">SUM(H642:H643)</f>
        <v>7.7297094294091306E-6</v>
      </c>
      <c r="I641" s="1">
        <f t="shared" ref="I641" si="688">SUM(I642:I643)</f>
        <v>8.8416361585740396E-6</v>
      </c>
      <c r="J641" s="1">
        <f t="shared" ref="J641" si="689">SUM(J642:J643)</f>
        <v>3.841939021635431E-6</v>
      </c>
      <c r="K641" s="1">
        <f t="shared" ref="K641:L641" si="690">SUM(K642:K643)</f>
        <v>2.9175503723810871E-6</v>
      </c>
      <c r="L641" s="1">
        <f t="shared" si="690"/>
        <v>3.8650938782006872E-6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3.590979434360588E-6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7.7297094294091306E-6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8.8416361585740396E-6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3.841939021635431E-6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2.9175503723810871E-6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3.8650938782006872E-6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13.477459166492427</v>
      </c>
      <c r="G644" s="3">
        <f t="shared" ref="G644" si="691">G645+G646+G651</f>
        <v>22.841785993902008</v>
      </c>
      <c r="H644" s="3">
        <f t="shared" ref="H644" si="692">H645+H646+H651</f>
        <v>22.906935732630423</v>
      </c>
      <c r="I644" s="3">
        <f t="shared" ref="I644" si="693">I645+I646+I651</f>
        <v>23.233237632592537</v>
      </c>
      <c r="J644" s="3">
        <f t="shared" ref="J644" si="694">J645+J646+J651</f>
        <v>22.498082638956809</v>
      </c>
      <c r="K644" s="3">
        <f t="shared" ref="K644:L644" si="695">K645+K646+K651</f>
        <v>22.222703676812291</v>
      </c>
      <c r="L644" s="3">
        <f t="shared" si="695"/>
        <v>21.670012928130337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3.798085649147819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12.115548025655132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12.540331484817028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12.540425793035288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12.540427013672588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12.541395046064029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12.541395542708482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9.679373517344608</v>
      </c>
      <c r="G646" s="1">
        <f t="shared" ref="G646" si="696">SUM(G647:G650)</f>
        <v>10.726197569728241</v>
      </c>
      <c r="H646" s="1">
        <f t="shared" ref="H646" si="697">SUM(H647:H650)</f>
        <v>10.366517288582315</v>
      </c>
      <c r="I646" s="1">
        <f t="shared" ref="I646" si="698">SUM(I647:I650)</f>
        <v>10.692712371150463</v>
      </c>
      <c r="J646" s="1">
        <f t="shared" ref="J646" si="699">SUM(J647:J650)</f>
        <v>9.9576099370430597</v>
      </c>
      <c r="K646" s="1">
        <f t="shared" ref="K646:L646" si="700">SUM(K647:K650)</f>
        <v>9.6812625256641969</v>
      </c>
      <c r="L646" s="1">
        <f t="shared" si="700"/>
        <v>9.1285574744334141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9.679373517344608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10.726197569728241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10.366517288582315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10.692712371150463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9.9576099370430597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9.6811523843007485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9.1284530844102161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1.1014136344810403E-4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1.0439002319837013E-4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1">SUM(G652:G653)</f>
        <v>4.0398518636556609E-5</v>
      </c>
      <c r="H651" s="1">
        <f t="shared" ref="H651" si="702">SUM(H652:H653)</f>
        <v>8.6959231080852741E-5</v>
      </c>
      <c r="I651" s="1">
        <f t="shared" ref="I651" si="703">SUM(I652:I653)</f>
        <v>9.9468406783957908E-5</v>
      </c>
      <c r="J651" s="1">
        <f t="shared" ref="J651" si="704">SUM(J652:J653)</f>
        <v>4.5688241163560381E-5</v>
      </c>
      <c r="K651" s="1">
        <f t="shared" ref="K651:L651" si="705">SUM(K652:K653)</f>
        <v>4.6105084061889807E-5</v>
      </c>
      <c r="L651" s="1">
        <f t="shared" si="705"/>
        <v>5.9910988440416445E-5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4.0398518636556609E-5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8.6959231080852741E-5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9.9468406783957908E-5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4.5688241163560381E-5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4.6105084061889807E-5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5.9910988440416445E-5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6">IFERROR(SUM(F635,F625,F615)/F645,"-")</f>
        <v>0.34965034965034969</v>
      </c>
      <c r="G655" s="4">
        <f t="shared" si="706"/>
        <v>0.34965034965034925</v>
      </c>
      <c r="H655" s="4">
        <f t="shared" si="706"/>
        <v>0.34965034965035002</v>
      </c>
      <c r="I655" s="4">
        <f t="shared" si="706"/>
        <v>0.34965034965034997</v>
      </c>
      <c r="J655" s="4">
        <f t="shared" si="706"/>
        <v>0.34965034965034986</v>
      </c>
      <c r="K655" s="4">
        <f t="shared" si="706"/>
        <v>0.34965034965035013</v>
      </c>
      <c r="L655" s="4">
        <f t="shared" ref="L655" si="707">IFERROR(SUM(L635,L625,L615)/L645,"-")</f>
        <v>0.34965034965035036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8">IFERROR(SUM(F637,F627,F617)/F647,"-")</f>
        <v>0.5932203389830516</v>
      </c>
      <c r="G656" s="4">
        <f t="shared" si="708"/>
        <v>0.59322033898305082</v>
      </c>
      <c r="H656" s="4">
        <f t="shared" si="708"/>
        <v>0.59322033898305104</v>
      </c>
      <c r="I656" s="4">
        <f t="shared" si="708"/>
        <v>0.59322033898305115</v>
      </c>
      <c r="J656" s="4">
        <f t="shared" si="708"/>
        <v>0.59322033898305171</v>
      </c>
      <c r="K656" s="4">
        <f t="shared" si="708"/>
        <v>0.59322033898305071</v>
      </c>
      <c r="L656" s="4">
        <f t="shared" ref="L656" si="709">IFERROR(SUM(L637,L627,L617)/L647,"-")</f>
        <v>0.59322033898305082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8"/>
        <v>-</v>
      </c>
      <c r="G657" s="4" t="str">
        <f t="shared" si="708"/>
        <v>-</v>
      </c>
      <c r="H657" s="4" t="str">
        <f t="shared" si="708"/>
        <v>-</v>
      </c>
      <c r="I657" s="4" t="str">
        <f t="shared" si="708"/>
        <v>-</v>
      </c>
      <c r="J657" s="4" t="str">
        <f t="shared" si="708"/>
        <v>-</v>
      </c>
      <c r="K657" s="4" t="str">
        <f t="shared" si="708"/>
        <v>-</v>
      </c>
      <c r="L657" s="4" t="str">
        <f t="shared" ref="L657" si="710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8"/>
        <v>-</v>
      </c>
      <c r="G658" s="4" t="str">
        <f t="shared" si="708"/>
        <v>-</v>
      </c>
      <c r="H658" s="4" t="str">
        <f t="shared" si="708"/>
        <v>-</v>
      </c>
      <c r="I658" s="4" t="str">
        <f t="shared" si="708"/>
        <v>-</v>
      </c>
      <c r="J658" s="4" t="str">
        <f t="shared" si="708"/>
        <v>-</v>
      </c>
      <c r="K658" s="4">
        <f t="shared" si="708"/>
        <v>0.70000000000000018</v>
      </c>
      <c r="L658" s="4">
        <f t="shared" ref="L658" si="711">IFERROR(SUM(L639,L629,L619)/L649,"-")</f>
        <v>0.69999999999999984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8"/>
        <v>-</v>
      </c>
      <c r="G659" s="4" t="str">
        <f t="shared" si="708"/>
        <v>-</v>
      </c>
      <c r="H659" s="4" t="str">
        <f t="shared" si="708"/>
        <v>-</v>
      </c>
      <c r="I659" s="4" t="str">
        <f t="shared" si="708"/>
        <v>-</v>
      </c>
      <c r="J659" s="4" t="str">
        <f t="shared" si="708"/>
        <v>-</v>
      </c>
      <c r="K659" s="4" t="str">
        <f t="shared" si="708"/>
        <v>-</v>
      </c>
      <c r="L659" s="4" t="str">
        <f t="shared" ref="L659" si="712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3">IFERROR(SUM(F642,F632,F622)/F652,"-")</f>
        <v>-</v>
      </c>
      <c r="G660" s="4">
        <f t="shared" si="713"/>
        <v>0.82962962962962961</v>
      </c>
      <c r="H660" s="4">
        <f t="shared" si="713"/>
        <v>0.84611907677661224</v>
      </c>
      <c r="I660" s="4">
        <f t="shared" si="713"/>
        <v>0.84678922343949237</v>
      </c>
      <c r="J660" s="4">
        <f t="shared" si="713"/>
        <v>0.82483106516101357</v>
      </c>
      <c r="K660" s="4">
        <f t="shared" si="713"/>
        <v>0.80402118869447747</v>
      </c>
      <c r="L660" s="4">
        <f t="shared" ref="L660" si="714">IFERROR(SUM(L642,L632,L622)/L652,"-")</f>
        <v>0.82537627069916109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3"/>
        <v>-</v>
      </c>
      <c r="G661" s="4" t="str">
        <f t="shared" si="713"/>
        <v>-</v>
      </c>
      <c r="H661" s="4" t="str">
        <f t="shared" si="713"/>
        <v>-</v>
      </c>
      <c r="I661" s="4" t="str">
        <f t="shared" si="713"/>
        <v>-</v>
      </c>
      <c r="J661" s="4" t="str">
        <f t="shared" si="713"/>
        <v>-</v>
      </c>
      <c r="K661" s="4" t="str">
        <f t="shared" si="713"/>
        <v>-</v>
      </c>
      <c r="L661" s="4" t="str">
        <f t="shared" ref="L661" si="715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2.5538869309411267E-3</v>
      </c>
      <c r="G662" s="3">
        <f t="shared" ref="G662:K662" si="716">SUM(G663,G667,G676)</f>
        <v>2.6010142187142629E-3</v>
      </c>
      <c r="H662" s="3">
        <f t="shared" si="716"/>
        <v>2.6005748133837692E-3</v>
      </c>
      <c r="I662" s="3">
        <f t="shared" si="716"/>
        <v>2.600261201527487E-3</v>
      </c>
      <c r="J662" s="3">
        <f t="shared" si="716"/>
        <v>4.8514528872181262E-3</v>
      </c>
      <c r="K662" s="3">
        <f t="shared" si="716"/>
        <v>4.8605805901866554E-3</v>
      </c>
      <c r="L662" s="3">
        <f t="shared" ref="L662" si="717">SUM(L663,L667,L676)</f>
        <v>0.18484702567369329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2.5538869309411267E-3</v>
      </c>
      <c r="G663" s="1">
        <f>[1]Other_transformation!C$28</f>
        <v>2.6010142187142629E-3</v>
      </c>
      <c r="H663" s="1">
        <f>[1]Other_transformation!D$28</f>
        <v>2.6005748133837692E-3</v>
      </c>
      <c r="I663" s="1">
        <f>[1]Other_transformation!E$28</f>
        <v>2.600261201527487E-3</v>
      </c>
      <c r="J663" s="1">
        <f>[2]Other_transformation!F$28</f>
        <v>4.8514528872181262E-3</v>
      </c>
      <c r="K663" s="1">
        <f>[2]Other_transformation!G$28</f>
        <v>4.8605805901866554E-3</v>
      </c>
      <c r="L663" s="1">
        <f>[2]Other_transformation!H$28</f>
        <v>0.18467630575695693</v>
      </c>
      <c r="N663" s="1"/>
    </row>
    <row r="664" spans="2:14" x14ac:dyDescent="0.35">
      <c r="B664" t="str">
        <f t="shared" ref="B664:B675" si="718">B663</f>
        <v>SPS1</v>
      </c>
      <c r="C664" t="str">
        <f t="shared" ref="C664:C675" si="719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2.5538869309411267E-3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2.6010142187142629E-3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2.6005748133837692E-3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2.5940530534279784E-3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4.8492722197846791E-3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3.7681314298858488E-3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0.18373645182707721</v>
      </c>
      <c r="N664" s="1"/>
    </row>
    <row r="665" spans="2:14" x14ac:dyDescent="0.35">
      <c r="B665" t="str">
        <f t="shared" ref="B665" si="720">B664</f>
        <v>SPS1</v>
      </c>
      <c r="C665" t="str">
        <f t="shared" ref="C665" si="721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6.2081480995084095E-6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2.1806674334474351E-6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1.8762499229662397E-4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1.9776174981497741E-4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9.0482416800418243E-4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7.4209218006473371E-4</v>
      </c>
      <c r="N666" s="1"/>
    </row>
    <row r="667" spans="2:14" x14ac:dyDescent="0.35">
      <c r="B667" t="str">
        <f t="shared" si="718"/>
        <v>SPS1</v>
      </c>
      <c r="C667" t="str">
        <f t="shared" si="719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1.7071991673636331E-4</v>
      </c>
      <c r="N667" s="1"/>
    </row>
    <row r="668" spans="2:14" x14ac:dyDescent="0.35">
      <c r="B668" t="str">
        <f t="shared" si="718"/>
        <v>SPS1</v>
      </c>
      <c r="C668" t="str">
        <f t="shared" si="719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1.7071991673636331E-4</v>
      </c>
      <c r="N668" s="1"/>
    </row>
    <row r="669" spans="2:14" x14ac:dyDescent="0.35">
      <c r="B669" t="str">
        <f t="shared" si="718"/>
        <v>SPS1</v>
      </c>
      <c r="C669" t="str">
        <f t="shared" si="719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8"/>
        <v>SPS1</v>
      </c>
      <c r="C670" t="str">
        <f t="shared" si="719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2">G667-G673</f>
        <v>0</v>
      </c>
      <c r="H670" s="1">
        <f t="shared" si="722"/>
        <v>0</v>
      </c>
      <c r="I670" s="1">
        <f t="shared" si="722"/>
        <v>0</v>
      </c>
      <c r="J670" s="1">
        <f t="shared" si="722"/>
        <v>0</v>
      </c>
      <c r="K670" s="1">
        <f t="shared" si="722"/>
        <v>0</v>
      </c>
      <c r="L670" s="1">
        <f t="shared" ref="L670" si="723">L667-L673</f>
        <v>0</v>
      </c>
      <c r="N670" s="1"/>
    </row>
    <row r="671" spans="2:14" x14ac:dyDescent="0.35">
      <c r="B671" t="str">
        <f t="shared" si="718"/>
        <v>SPS1</v>
      </c>
      <c r="C671" t="str">
        <f t="shared" si="719"/>
        <v>CH</v>
      </c>
      <c r="D671" t="s">
        <v>607</v>
      </c>
      <c r="E671" s="5" t="s">
        <v>8</v>
      </c>
      <c r="F671" s="1">
        <f t="shared" ref="F671:K671" si="724">F668-F674</f>
        <v>0</v>
      </c>
      <c r="G671" s="1">
        <f t="shared" si="724"/>
        <v>0</v>
      </c>
      <c r="H671" s="1">
        <f t="shared" si="724"/>
        <v>0</v>
      </c>
      <c r="I671" s="1">
        <f t="shared" si="724"/>
        <v>0</v>
      </c>
      <c r="J671" s="1">
        <f t="shared" si="724"/>
        <v>0</v>
      </c>
      <c r="K671" s="1">
        <f t="shared" si="724"/>
        <v>0</v>
      </c>
      <c r="L671" s="1">
        <f t="shared" ref="L671" si="725">L668-L674</f>
        <v>0</v>
      </c>
      <c r="N671" s="1"/>
    </row>
    <row r="672" spans="2:14" x14ac:dyDescent="0.35">
      <c r="B672" t="str">
        <f t="shared" si="718"/>
        <v>SPS1</v>
      </c>
      <c r="C672" t="str">
        <f t="shared" si="719"/>
        <v>CH</v>
      </c>
      <c r="D672" t="s">
        <v>608</v>
      </c>
      <c r="E672" s="5" t="s">
        <v>8</v>
      </c>
      <c r="F672" s="1">
        <f t="shared" ref="F672:K672" si="726">F669-F675</f>
        <v>0</v>
      </c>
      <c r="G672" s="1">
        <f t="shared" si="726"/>
        <v>0</v>
      </c>
      <c r="H672" s="1">
        <f t="shared" si="726"/>
        <v>0</v>
      </c>
      <c r="I672" s="1">
        <f t="shared" si="726"/>
        <v>0</v>
      </c>
      <c r="J672" s="1">
        <f t="shared" si="726"/>
        <v>0</v>
      </c>
      <c r="K672" s="1">
        <f t="shared" si="726"/>
        <v>0</v>
      </c>
      <c r="L672" s="1">
        <f t="shared" ref="L672" si="727">L669-L675</f>
        <v>0</v>
      </c>
      <c r="N672" s="1"/>
    </row>
    <row r="673" spans="2:14" x14ac:dyDescent="0.35">
      <c r="B673" t="str">
        <f t="shared" si="718"/>
        <v>SPS1</v>
      </c>
      <c r="C673" t="str">
        <f t="shared" si="719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8">SUM(G674:G675)</f>
        <v>0</v>
      </c>
      <c r="H673" s="1">
        <f t="shared" si="728"/>
        <v>0</v>
      </c>
      <c r="I673" s="1">
        <f t="shared" si="728"/>
        <v>0</v>
      </c>
      <c r="J673" s="1">
        <f t="shared" si="728"/>
        <v>0</v>
      </c>
      <c r="K673" s="1">
        <f t="shared" si="728"/>
        <v>0</v>
      </c>
      <c r="L673" s="1">
        <f t="shared" ref="L673" si="729">SUM(L674:L675)</f>
        <v>1.7071991673636331E-4</v>
      </c>
      <c r="N673" s="1"/>
    </row>
    <row r="674" spans="2:14" x14ac:dyDescent="0.35">
      <c r="B674" t="str">
        <f t="shared" si="718"/>
        <v>SPS1</v>
      </c>
      <c r="C674" t="str">
        <f t="shared" si="719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1.7071991673636331E-4</v>
      </c>
      <c r="N674" s="1"/>
    </row>
    <row r="675" spans="2:14" x14ac:dyDescent="0.35">
      <c r="B675" t="str">
        <f t="shared" si="718"/>
        <v>SPS1</v>
      </c>
      <c r="C675" t="str">
        <f t="shared" si="719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0">B675</f>
        <v>SPS1</v>
      </c>
      <c r="C676" t="str">
        <f t="shared" ref="C676:C678" si="731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2">SUM(G677:G678)</f>
        <v>0</v>
      </c>
      <c r="H676" s="1">
        <f t="shared" si="732"/>
        <v>0</v>
      </c>
      <c r="I676" s="1">
        <f t="shared" si="732"/>
        <v>0</v>
      </c>
      <c r="J676" s="1">
        <f t="shared" si="732"/>
        <v>0</v>
      </c>
      <c r="K676" s="1">
        <f t="shared" si="732"/>
        <v>0</v>
      </c>
      <c r="L676" s="1">
        <f t="shared" ref="L676" si="733">SUM(L677:L678)</f>
        <v>0</v>
      </c>
      <c r="N676" s="1"/>
    </row>
    <row r="677" spans="2:14" x14ac:dyDescent="0.35">
      <c r="B677" t="str">
        <f t="shared" si="730"/>
        <v>SPS1</v>
      </c>
      <c r="C677" t="str">
        <f t="shared" si="731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0"/>
        <v>SPS1</v>
      </c>
      <c r="C678" t="str">
        <f t="shared" si="731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3.7283020889651475E-3</v>
      </c>
      <c r="G679" s="3">
        <f t="shared" ref="G679:K679" si="734">SUM(G680,G684,G686,G695)</f>
        <v>3.7478591047755958E-3</v>
      </c>
      <c r="H679" s="3">
        <f t="shared" si="734"/>
        <v>3.6757241178569161E-3</v>
      </c>
      <c r="I679" s="3">
        <f t="shared" si="734"/>
        <v>3.5620016459280658E-3</v>
      </c>
      <c r="J679" s="3">
        <f t="shared" si="734"/>
        <v>6.4471134713862096E-3</v>
      </c>
      <c r="K679" s="3">
        <f t="shared" si="734"/>
        <v>6.1442296143893191E-3</v>
      </c>
      <c r="L679" s="3">
        <f t="shared" ref="L679" si="735">SUM(L680,L684,L686,L695)</f>
        <v>0.22535919489331396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3.7283020889651475E-3</v>
      </c>
      <c r="G680" s="1">
        <f t="shared" ref="G680:K680" si="736">SUM(G681:G683)</f>
        <v>3.7478591047755958E-3</v>
      </c>
      <c r="H680" s="1">
        <f t="shared" si="736"/>
        <v>3.6757241178569161E-3</v>
      </c>
      <c r="I680" s="1">
        <f t="shared" si="736"/>
        <v>3.5620016459280658E-3</v>
      </c>
      <c r="J680" s="1">
        <f t="shared" si="736"/>
        <v>6.4471134713862096E-3</v>
      </c>
      <c r="K680" s="1">
        <f t="shared" si="736"/>
        <v>6.009026003078349E-3</v>
      </c>
      <c r="L680" s="1">
        <f t="shared" ref="L680" si="737">SUM(L681:L683)</f>
        <v>0.22505210873725015</v>
      </c>
      <c r="N680" s="1"/>
    </row>
    <row r="681" spans="2:14" x14ac:dyDescent="0.35">
      <c r="B681" t="str">
        <f t="shared" ref="B681:B697" si="738">B680</f>
        <v>SPS1</v>
      </c>
      <c r="C681" t="str">
        <f t="shared" ref="C681:C697" si="739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3.7283020889651475E-3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3.7478591047755958E-3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3.6757241178569161E-3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3.5534973334629856E-3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6.4442155744646847E-3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4.8621050708204574E-3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0.22406884369155738</v>
      </c>
      <c r="N681" s="1"/>
    </row>
    <row r="682" spans="2:14" x14ac:dyDescent="0.35">
      <c r="B682" t="str">
        <f t="shared" ref="B682" si="740">B681</f>
        <v>SPS1</v>
      </c>
      <c r="C682" t="str">
        <f t="shared" ref="C682" si="741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8.5043124650800131E-6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2.8978969215248309E-6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2.4209676425370844E-4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2.4117286562802138E-4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9.0482416800418243E-4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7.4209218006473371E-4</v>
      </c>
      <c r="N683" s="1"/>
    </row>
    <row r="684" spans="2:14" x14ac:dyDescent="0.35">
      <c r="B684" t="str">
        <f t="shared" ref="B684:B685" si="742">B683</f>
        <v>SPS1</v>
      </c>
      <c r="C684" t="str">
        <f t="shared" ref="C684:C685" si="743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4">G685</f>
        <v>0</v>
      </c>
      <c r="H684" s="1">
        <f t="shared" si="744"/>
        <v>0</v>
      </c>
      <c r="I684" s="1">
        <f t="shared" si="744"/>
        <v>0</v>
      </c>
      <c r="J684" s="1">
        <f t="shared" si="744"/>
        <v>0</v>
      </c>
      <c r="K684" s="1">
        <f t="shared" si="744"/>
        <v>1.3520361131096983E-4</v>
      </c>
      <c r="L684" s="1">
        <f t="shared" si="744"/>
        <v>8.2454686673859193E-5</v>
      </c>
      <c r="N684" s="1"/>
    </row>
    <row r="685" spans="2:14" x14ac:dyDescent="0.35">
      <c r="B685" t="str">
        <f t="shared" si="742"/>
        <v>SPS1</v>
      </c>
      <c r="C685" t="str">
        <f t="shared" si="743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1.3520361131096983E-4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8.2454686673859193E-5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5">SUM(G687:G688)</f>
        <v>0</v>
      </c>
      <c r="H686" s="1">
        <f t="shared" si="745"/>
        <v>0</v>
      </c>
      <c r="I686" s="1">
        <f t="shared" si="745"/>
        <v>0</v>
      </c>
      <c r="J686" s="1">
        <f t="shared" si="745"/>
        <v>0</v>
      </c>
      <c r="K686" s="1">
        <f t="shared" si="745"/>
        <v>0</v>
      </c>
      <c r="L686" s="1">
        <f t="shared" ref="L686" si="746">SUM(L687:L688)</f>
        <v>2.2463146938995175E-4</v>
      </c>
      <c r="N686" s="1"/>
    </row>
    <row r="687" spans="2:14" x14ac:dyDescent="0.35">
      <c r="B687" t="str">
        <f t="shared" si="738"/>
        <v>SPS1</v>
      </c>
      <c r="C687" t="str">
        <f t="shared" si="739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2.2463146938995175E-4</v>
      </c>
      <c r="N687" s="1"/>
    </row>
    <row r="688" spans="2:14" x14ac:dyDescent="0.35">
      <c r="B688" t="str">
        <f t="shared" si="738"/>
        <v>SPS1</v>
      </c>
      <c r="C688" t="str">
        <f t="shared" si="739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8"/>
        <v>SPS1</v>
      </c>
      <c r="C689" t="str">
        <f t="shared" si="739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7">G686-G692</f>
        <v>0</v>
      </c>
      <c r="H689" s="1">
        <f t="shared" si="747"/>
        <v>0</v>
      </c>
      <c r="I689" s="1">
        <f t="shared" si="747"/>
        <v>0</v>
      </c>
      <c r="J689" s="1">
        <f t="shared" si="747"/>
        <v>0</v>
      </c>
      <c r="K689" s="1">
        <f t="shared" si="747"/>
        <v>0</v>
      </c>
      <c r="L689" s="1">
        <f t="shared" ref="L689" si="748">L686-L692</f>
        <v>0</v>
      </c>
      <c r="N689" s="1"/>
    </row>
    <row r="690" spans="2:14" x14ac:dyDescent="0.35">
      <c r="B690" t="str">
        <f t="shared" si="738"/>
        <v>SPS1</v>
      </c>
      <c r="C690" t="str">
        <f t="shared" si="739"/>
        <v>CH</v>
      </c>
      <c r="D690" t="s">
        <v>609</v>
      </c>
      <c r="E690" s="5" t="s">
        <v>8</v>
      </c>
      <c r="F690" s="1">
        <f t="shared" ref="F690:K690" si="749">F687-F693</f>
        <v>0</v>
      </c>
      <c r="G690" s="1">
        <f t="shared" si="749"/>
        <v>0</v>
      </c>
      <c r="H690" s="1">
        <f t="shared" si="749"/>
        <v>0</v>
      </c>
      <c r="I690" s="1">
        <f t="shared" si="749"/>
        <v>0</v>
      </c>
      <c r="J690" s="1">
        <f t="shared" si="749"/>
        <v>0</v>
      </c>
      <c r="K690" s="1">
        <f t="shared" si="749"/>
        <v>0</v>
      </c>
      <c r="L690" s="1">
        <f t="shared" ref="L690" si="750">L687-L693</f>
        <v>0</v>
      </c>
      <c r="N690" s="1"/>
    </row>
    <row r="691" spans="2:14" x14ac:dyDescent="0.35">
      <c r="B691" t="str">
        <f t="shared" si="738"/>
        <v>SPS1</v>
      </c>
      <c r="C691" t="str">
        <f t="shared" si="739"/>
        <v>CH</v>
      </c>
      <c r="D691" t="s">
        <v>610</v>
      </c>
      <c r="E691" s="5" t="s">
        <v>8</v>
      </c>
      <c r="F691" s="1">
        <f t="shared" ref="F691:K691" si="751">F688-F694</f>
        <v>0</v>
      </c>
      <c r="G691" s="1">
        <f t="shared" si="751"/>
        <v>0</v>
      </c>
      <c r="H691" s="1">
        <f t="shared" si="751"/>
        <v>0</v>
      </c>
      <c r="I691" s="1">
        <f t="shared" si="751"/>
        <v>0</v>
      </c>
      <c r="J691" s="1">
        <f t="shared" si="751"/>
        <v>0</v>
      </c>
      <c r="K691" s="1">
        <f t="shared" si="751"/>
        <v>0</v>
      </c>
      <c r="L691" s="1">
        <f t="shared" ref="L691" si="752">L688-L694</f>
        <v>0</v>
      </c>
      <c r="N691" s="1"/>
    </row>
    <row r="692" spans="2:14" x14ac:dyDescent="0.35">
      <c r="B692" t="str">
        <f t="shared" si="738"/>
        <v>SPS1</v>
      </c>
      <c r="C692" t="str">
        <f t="shared" si="739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3">SUM(G693:G694)</f>
        <v>0</v>
      </c>
      <c r="H692" s="1">
        <f t="shared" si="753"/>
        <v>0</v>
      </c>
      <c r="I692" s="1">
        <f t="shared" si="753"/>
        <v>0</v>
      </c>
      <c r="J692" s="1">
        <f t="shared" si="753"/>
        <v>0</v>
      </c>
      <c r="K692" s="1">
        <f t="shared" si="753"/>
        <v>0</v>
      </c>
      <c r="L692" s="1">
        <f t="shared" ref="L692" si="754">SUM(L693:L694)</f>
        <v>2.2463146938995175E-4</v>
      </c>
      <c r="N692" s="1"/>
    </row>
    <row r="693" spans="2:14" x14ac:dyDescent="0.35">
      <c r="B693" t="str">
        <f t="shared" si="738"/>
        <v>SPS1</v>
      </c>
      <c r="C693" t="str">
        <f t="shared" si="739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5">IFERROR(G674/G668,0)*G687</f>
        <v>0</v>
      </c>
      <c r="H693" s="1">
        <f t="shared" si="755"/>
        <v>0</v>
      </c>
      <c r="I693" s="1">
        <f t="shared" si="755"/>
        <v>0</v>
      </c>
      <c r="J693" s="1">
        <f t="shared" si="755"/>
        <v>0</v>
      </c>
      <c r="K693" s="1">
        <f t="shared" si="755"/>
        <v>0</v>
      </c>
      <c r="L693" s="1">
        <f t="shared" ref="L693" si="756">IFERROR(L674/L668,0)*L687</f>
        <v>2.2463146938995175E-4</v>
      </c>
      <c r="N693" s="1"/>
    </row>
    <row r="694" spans="2:14" x14ac:dyDescent="0.35">
      <c r="B694" t="str">
        <f t="shared" si="738"/>
        <v>SPS1</v>
      </c>
      <c r="C694" t="str">
        <f t="shared" si="739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5"/>
        <v>0</v>
      </c>
      <c r="H694" s="1">
        <f t="shared" si="755"/>
        <v>0</v>
      </c>
      <c r="I694" s="1">
        <f t="shared" si="755"/>
        <v>0</v>
      </c>
      <c r="J694" s="1">
        <f t="shared" si="755"/>
        <v>0</v>
      </c>
      <c r="K694" s="1">
        <f t="shared" si="755"/>
        <v>0</v>
      </c>
      <c r="L694" s="1">
        <f t="shared" ref="L694" si="757">IFERROR(L675/L669,0)*L688</f>
        <v>0</v>
      </c>
      <c r="N694" s="1"/>
    </row>
    <row r="695" spans="2:14" x14ac:dyDescent="0.35">
      <c r="B695" t="str">
        <f t="shared" si="738"/>
        <v>SPS1</v>
      </c>
      <c r="C695" t="str">
        <f t="shared" si="739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8">SUM(G696:G697)</f>
        <v>0</v>
      </c>
      <c r="H695" s="1">
        <f t="shared" si="758"/>
        <v>0</v>
      </c>
      <c r="I695" s="1">
        <f t="shared" si="758"/>
        <v>0</v>
      </c>
      <c r="J695" s="1">
        <f t="shared" si="758"/>
        <v>0</v>
      </c>
      <c r="K695" s="1">
        <f t="shared" si="758"/>
        <v>0</v>
      </c>
      <c r="L695" s="1">
        <f t="shared" ref="L695" si="759">SUM(L696:L697)</f>
        <v>0</v>
      </c>
      <c r="N695" s="1"/>
    </row>
    <row r="696" spans="2:14" x14ac:dyDescent="0.35">
      <c r="B696" t="str">
        <f t="shared" si="738"/>
        <v>SPS1</v>
      </c>
      <c r="C696" t="str">
        <f t="shared" si="739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8"/>
        <v>SPS1</v>
      </c>
      <c r="C697" t="str">
        <f t="shared" si="739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0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61">IFERROR(G664/G681,"-")</f>
        <v>0.69399999999999984</v>
      </c>
      <c r="H699" s="4">
        <f t="shared" si="761"/>
        <v>0.70750000000000035</v>
      </c>
      <c r="I699" s="4">
        <f t="shared" si="761"/>
        <v>0.72999999999999965</v>
      </c>
      <c r="J699" s="4">
        <f t="shared" si="761"/>
        <v>0.75250000000000061</v>
      </c>
      <c r="K699" s="4">
        <f t="shared" si="761"/>
        <v>0.7749999999999988</v>
      </c>
      <c r="L699" s="4">
        <f t="shared" ref="L699" si="762">IFERROR(L664/L681,"-")</f>
        <v>0.82000000000000073</v>
      </c>
      <c r="N699" s="1"/>
    </row>
    <row r="700" spans="2:14" x14ac:dyDescent="0.35">
      <c r="B700" t="str">
        <f t="shared" ref="B700:B705" si="763">B699</f>
        <v>SPS1</v>
      </c>
      <c r="C700" t="str">
        <f t="shared" si="760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4">IFERROR(G665/G682,"-")</f>
        <v>-</v>
      </c>
      <c r="H700" s="4" t="str">
        <f t="shared" si="764"/>
        <v>-</v>
      </c>
      <c r="I700" s="4">
        <f t="shared" si="764"/>
        <v>0.73</v>
      </c>
      <c r="J700" s="4">
        <f t="shared" si="764"/>
        <v>0.75249999999999995</v>
      </c>
      <c r="K700" s="4">
        <f t="shared" si="764"/>
        <v>0.77499999999999969</v>
      </c>
      <c r="L700" s="4">
        <f t="shared" ref="L700" si="765">IFERROR(L665/L682,"-")</f>
        <v>0.81999999999999951</v>
      </c>
      <c r="N700" s="1"/>
    </row>
    <row r="701" spans="2:14" x14ac:dyDescent="0.35">
      <c r="B701" t="str">
        <f t="shared" si="763"/>
        <v>SPS1</v>
      </c>
      <c r="C701" t="str">
        <f t="shared" si="760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6">IFERROR(G666/SUM(G683,G685),"-")</f>
        <v>-</v>
      </c>
      <c r="H701" s="4" t="str">
        <f t="shared" si="766"/>
        <v>-</v>
      </c>
      <c r="I701" s="4" t="str">
        <f t="shared" si="766"/>
        <v>-</v>
      </c>
      <c r="J701" s="4" t="str">
        <f t="shared" si="766"/>
        <v>-</v>
      </c>
      <c r="K701" s="4">
        <f t="shared" si="766"/>
        <v>0.86999999999999988</v>
      </c>
      <c r="L701" s="4">
        <f t="shared" ref="L701" si="767">IFERROR(L666/SUM(L683,L685),"-")</f>
        <v>0.90000000000000013</v>
      </c>
      <c r="N701" s="1"/>
    </row>
    <row r="702" spans="2:14" x14ac:dyDescent="0.35">
      <c r="B702" t="str">
        <f t="shared" si="763"/>
        <v>SPS1</v>
      </c>
      <c r="C702" t="str">
        <f t="shared" si="760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8">IFERROR(G668/G687,"-")</f>
        <v>-</v>
      </c>
      <c r="H702" s="4" t="str">
        <f t="shared" si="768"/>
        <v>-</v>
      </c>
      <c r="I702" s="4" t="str">
        <f t="shared" si="768"/>
        <v>-</v>
      </c>
      <c r="J702" s="4" t="str">
        <f t="shared" si="768"/>
        <v>-</v>
      </c>
      <c r="K702" s="4" t="str">
        <f t="shared" si="768"/>
        <v>-</v>
      </c>
      <c r="L702" s="4">
        <f t="shared" ref="L702" si="769">IFERROR(L668/L687,"-")</f>
        <v>0.7599999999999999</v>
      </c>
      <c r="N702" s="1"/>
    </row>
    <row r="703" spans="2:14" x14ac:dyDescent="0.35">
      <c r="B703" t="str">
        <f t="shared" si="763"/>
        <v>SPS1</v>
      </c>
      <c r="C703" t="str">
        <f t="shared" si="760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8"/>
        <v>-</v>
      </c>
      <c r="H703" s="4" t="str">
        <f t="shared" si="768"/>
        <v>-</v>
      </c>
      <c r="I703" s="4" t="str">
        <f t="shared" si="768"/>
        <v>-</v>
      </c>
      <c r="J703" s="4" t="str">
        <f t="shared" si="768"/>
        <v>-</v>
      </c>
      <c r="K703" s="4" t="str">
        <f t="shared" si="768"/>
        <v>-</v>
      </c>
      <c r="L703" s="4" t="str">
        <f t="shared" ref="L703" si="770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1">IFERROR(G677/G696,"-")</f>
        <v>-</v>
      </c>
      <c r="H704" s="4" t="str">
        <f t="shared" si="771"/>
        <v>-</v>
      </c>
      <c r="I704" s="4" t="str">
        <f t="shared" si="771"/>
        <v>-</v>
      </c>
      <c r="J704" s="4" t="str">
        <f t="shared" si="771"/>
        <v>-</v>
      </c>
      <c r="K704" s="4" t="str">
        <f t="shared" si="771"/>
        <v>-</v>
      </c>
      <c r="L704" s="4" t="str">
        <f t="shared" ref="L704" si="772">IFERROR(L677/L696,"-")</f>
        <v>-</v>
      </c>
      <c r="N704" s="1"/>
    </row>
    <row r="705" spans="2:14" x14ac:dyDescent="0.35">
      <c r="B705" t="str">
        <f t="shared" si="763"/>
        <v>SPS1</v>
      </c>
      <c r="C705" t="str">
        <f t="shared" si="760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1"/>
        <v>-</v>
      </c>
      <c r="H705" s="4" t="str">
        <f t="shared" si="771"/>
        <v>-</v>
      </c>
      <c r="I705" s="4" t="str">
        <f t="shared" si="771"/>
        <v>-</v>
      </c>
      <c r="J705" s="4" t="str">
        <f t="shared" si="771"/>
        <v>-</v>
      </c>
      <c r="K705" s="4" t="str">
        <f t="shared" si="771"/>
        <v>-</v>
      </c>
      <c r="L705" s="4" t="str">
        <f t="shared" ref="L705" si="773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1.1764723346029966</v>
      </c>
      <c r="G706" s="1">
        <f>[1]Other_transformation!C$39</f>
        <v>4.2636163528457924</v>
      </c>
      <c r="H706" s="1">
        <f>[1]Other_transformation!D$39</f>
        <v>4.1150915266737194</v>
      </c>
      <c r="I706" s="1">
        <f>[1]Other_transformation!E$39</f>
        <v>4.11505686983645</v>
      </c>
      <c r="J706" s="1">
        <f>[2]Other_transformation!F$39</f>
        <v>3.1732454121079221</v>
      </c>
      <c r="K706" s="1">
        <f>[2]Other_transformation!G$39</f>
        <v>3.1728322119506931</v>
      </c>
      <c r="L706" s="1">
        <f>[2]Other_transformation!H$39</f>
        <v>3.1730798407719867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1.2890720728256426</v>
      </c>
      <c r="G707" s="1">
        <f>[1]Other_transformation!C$38</f>
        <v>4.6716855195331997</v>
      </c>
      <c r="H707" s="1">
        <f>[1]Other_transformation!D$38</f>
        <v>4.5089454363978714</v>
      </c>
      <c r="I707" s="1">
        <f>[1]Other_transformation!E$38</f>
        <v>4.5089074625673478</v>
      </c>
      <c r="J707" s="1">
        <f>[2]Other_transformation!F$38</f>
        <v>3.4769555735883855</v>
      </c>
      <c r="K707" s="1">
        <f>[2]Other_transformation!G$38</f>
        <v>3.4765028261947482</v>
      </c>
      <c r="L707" s="1">
        <f>[2]Other_transformation!H$38</f>
        <v>3.4767741554802463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4">F706/F707</f>
        <v>0.91265054871925999</v>
      </c>
      <c r="G708" s="14">
        <f t="shared" si="774"/>
        <v>0.91265054871925921</v>
      </c>
      <c r="H708" s="14">
        <f t="shared" si="774"/>
        <v>0.91265054871925977</v>
      </c>
      <c r="I708" s="14">
        <f t="shared" si="774"/>
        <v>0.91265054871925866</v>
      </c>
      <c r="J708" s="14">
        <f t="shared" si="774"/>
        <v>0.91265054871925788</v>
      </c>
      <c r="K708" s="14">
        <f t="shared" si="774"/>
        <v>0.91265054871925944</v>
      </c>
      <c r="L708" s="14">
        <f t="shared" ref="L708" si="775">L706/L707</f>
        <v>0.91265054871925944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5.9796379797159913</v>
      </c>
      <c r="G709" s="17" cm="1">
        <f t="array" ref="G709">SUMPRODUCT(("CT_CWODPLT"=[1]OUT_SyntheticFuels!$C$4:$C$1000)*1,("Var_Fout"=[1]OUT_SyntheticFuels!$B$4:$B$1000)*1,[1]OUT_SyntheticFuels!F$4:F$1000)</f>
        <v>6.9696530325077957</v>
      </c>
      <c r="H709" s="17" cm="1">
        <f t="array" ref="H709">SUMPRODUCT(("CT_CWODPLT"=[1]OUT_SyntheticFuels!$C$4:$C$1000)*1,("Var_Fout"=[1]OUT_SyntheticFuels!$B$4:$B$1000)*1,[1]OUT_SyntheticFuels!G$4:G$1000)</f>
        <v>2.0141212989807236</v>
      </c>
      <c r="I709" s="17" cm="1">
        <f t="array" ref="I709">SUMPRODUCT(("CT_CWODPLT"=[1]OUT_SyntheticFuels!$C$4:$C$1000)*1,("Var_Fout"=[1]OUT_SyntheticFuels!$B$4:$B$1000)*1,[1]OUT_SyntheticFuels!H$4:H$1000)</f>
        <v>2.8190967932234341</v>
      </c>
      <c r="J709" s="17" cm="1">
        <f t="array" ref="J709">SUMPRODUCT(("CT_CWODPLT"=[2]OUT_SyntheticFuels!$C$4:$C$1000)*1,("Var_Fout"=[2]OUT_SyntheticFuels!$B$4:$B$1000)*1,[2]OUT_SyntheticFuels!I$4:I$1000)</f>
        <v>3.2755965702717442</v>
      </c>
      <c r="K709" s="17" cm="1">
        <f t="array" ref="K709">SUMPRODUCT(("CT_CWODPLT"=[2]OUT_SyntheticFuels!$C$4:$C$1000)*1,("Var_Fout"=[2]OUT_SyntheticFuels!$B$4:$B$1000)*1,[2]OUT_SyntheticFuels!J$4:J$1000)</f>
        <v>3.700531828695659</v>
      </c>
      <c r="L709" s="17" cm="1">
        <f t="array" ref="L709">SUMPRODUCT(("CT_CWODPLT"=[2]OUT_SyntheticFuels!$C$4:$C$1000)*1,("Var_Fout"=[2]OUT_SyntheticFuels!$B$4:$B$1000)*1,[2]OUT_SyntheticFuels!K$4:K$1000)</f>
        <v>4.4003386494527943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5.9796379797159913</v>
      </c>
      <c r="G710" s="18">
        <f t="shared" ref="G710:K710" si="776">G709</f>
        <v>6.9696530325077957</v>
      </c>
      <c r="H710" s="18">
        <f t="shared" si="776"/>
        <v>2.0141212989807236</v>
      </c>
      <c r="I710" s="18">
        <f t="shared" si="776"/>
        <v>2.8190967932234341</v>
      </c>
      <c r="J710" s="18">
        <f t="shared" si="776"/>
        <v>3.2755965702717442</v>
      </c>
      <c r="K710" s="18">
        <f t="shared" si="776"/>
        <v>3.700531828695659</v>
      </c>
      <c r="L710" s="18">
        <f t="shared" ref="L710" si="777">L709</f>
        <v>4.4003386494527943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7.1186166425190383</v>
      </c>
      <c r="G711" s="17" cm="1">
        <f t="array" ref="G711">SUMPRODUCT(("CT_CWODPLT"=[1]OUT_SyntheticFuels!$C$4:$C$1000)*1,("Var_Fin"=[1]OUT_SyntheticFuels!$B$4:$B$1000)*1,[1]OUT_SyntheticFuels!F$4:F$1000)</f>
        <v>8.2972059910807179</v>
      </c>
      <c r="H711" s="17" cm="1">
        <f t="array" ref="H711">SUMPRODUCT(("CT_CWODPLT"=[1]OUT_SyntheticFuels!$C$4:$C$1000)*1,("Var_Fin"=[1]OUT_SyntheticFuels!$B$4:$B$1000)*1,[1]OUT_SyntheticFuels!G$4:G$1000)</f>
        <v>2.3977634511675285</v>
      </c>
      <c r="I711" s="17" cm="1">
        <f t="array" ref="I711">SUMPRODUCT(("CT_CWODPLT"=[1]OUT_SyntheticFuels!$C$4:$C$1000)*1,("Var_Fin"=[1]OUT_SyntheticFuels!$B$4:$B$1000)*1,[1]OUT_SyntheticFuels!H$4:H$1000)</f>
        <v>3.3560676109802796</v>
      </c>
      <c r="J711" s="17" cm="1">
        <f t="array" ref="J711">SUMPRODUCT(("CT_CWODPLT"=[2]OUT_SyntheticFuels!$C$4:$C$1000)*1,("Var_Fin"=[2]OUT_SyntheticFuels!$B$4:$B$1000)*1,[2]OUT_SyntheticFuels!I$4:I$1000)</f>
        <v>3.8995197265139803</v>
      </c>
      <c r="K711" s="17" cm="1">
        <f t="array" ref="K711">SUMPRODUCT(("CT_CWODPLT"=[2]OUT_SyntheticFuels!$C$4:$C$1000)*1,("Var_Fin"=[2]OUT_SyntheticFuels!$B$4:$B$1000)*1,[2]OUT_SyntheticFuels!J$4:J$1000)</f>
        <v>4.4053950341615007</v>
      </c>
      <c r="L711" s="17" cm="1">
        <f t="array" ref="L711">SUMPRODUCT(("CT_CWODPLT"=[2]OUT_SyntheticFuels!$C$4:$C$1000)*1,("Var_Fin"=[2]OUT_SyntheticFuels!$B$4:$B$1000)*1,[2]OUT_SyntheticFuels!K$4:K$1000)</f>
        <v>5.2384983922057096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8">F711</f>
        <v>7.1186166425190383</v>
      </c>
      <c r="G712" s="18">
        <f t="shared" si="778"/>
        <v>8.2972059910807179</v>
      </c>
      <c r="H712" s="18">
        <f t="shared" si="778"/>
        <v>2.3977634511675285</v>
      </c>
      <c r="I712" s="18">
        <f t="shared" si="778"/>
        <v>3.3560676109802796</v>
      </c>
      <c r="J712" s="18">
        <f t="shared" si="778"/>
        <v>3.8995197265139803</v>
      </c>
      <c r="K712" s="18">
        <f t="shared" si="778"/>
        <v>4.4053950341615007</v>
      </c>
      <c r="L712" s="18">
        <f t="shared" ref="L712" si="779">L711</f>
        <v>5.2384983922057096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0">IFERROR(F709/F711,"-")</f>
        <v>0.83999999999999986</v>
      </c>
      <c r="G713" s="14">
        <f t="shared" si="780"/>
        <v>0.83999999999999908</v>
      </c>
      <c r="H713" s="14">
        <f t="shared" si="780"/>
        <v>0.83999999999999986</v>
      </c>
      <c r="I713" s="14">
        <f t="shared" si="780"/>
        <v>0.83999999999999975</v>
      </c>
      <c r="J713" s="14">
        <f t="shared" si="780"/>
        <v>0.84000000000000019</v>
      </c>
      <c r="K713" s="14">
        <f t="shared" si="780"/>
        <v>0.83999999999999964</v>
      </c>
      <c r="L713" s="14">
        <f t="shared" ref="L713" si="781">IFERROR(L709/L711,"-")</f>
        <v>0.83999999999999964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2">G715+G717</f>
        <v>0</v>
      </c>
      <c r="H714" s="17">
        <f t="shared" si="782"/>
        <v>0</v>
      </c>
      <c r="I714" s="17">
        <f t="shared" si="782"/>
        <v>0</v>
      </c>
      <c r="J714" s="17">
        <f t="shared" si="782"/>
        <v>0</v>
      </c>
      <c r="K714" s="17">
        <f t="shared" si="782"/>
        <v>0</v>
      </c>
      <c r="L714" s="17">
        <f t="shared" ref="L714" si="783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4">G716</f>
        <v>0</v>
      </c>
      <c r="H715" s="18">
        <f t="shared" si="784"/>
        <v>0</v>
      </c>
      <c r="I715" s="18">
        <f t="shared" si="784"/>
        <v>0</v>
      </c>
      <c r="J715" s="18">
        <f t="shared" si="784"/>
        <v>0</v>
      </c>
      <c r="K715" s="18">
        <f t="shared" si="784"/>
        <v>0</v>
      </c>
      <c r="L715" s="18">
        <f t="shared" si="784"/>
        <v>0</v>
      </c>
      <c r="N715" s="1"/>
    </row>
    <row r="716" spans="2:14" x14ac:dyDescent="0.35">
      <c r="B716" s="5" t="str">
        <f t="shared" ref="B716:C718" si="785">B714</f>
        <v>SPS1</v>
      </c>
      <c r="C716" s="5" t="str">
        <f t="shared" si="785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5"/>
        <v>SPS1</v>
      </c>
      <c r="C717" s="5" t="str">
        <f t="shared" si="785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6">SUM(G718:G720)</f>
        <v>0</v>
      </c>
      <c r="H717" s="18">
        <f t="shared" si="786"/>
        <v>0</v>
      </c>
      <c r="I717" s="18">
        <f t="shared" si="786"/>
        <v>0</v>
      </c>
      <c r="J717" s="18">
        <f t="shared" si="786"/>
        <v>0</v>
      </c>
      <c r="K717" s="18">
        <f t="shared" si="786"/>
        <v>0</v>
      </c>
      <c r="L717" s="18">
        <f t="shared" ref="L717" si="787">SUM(L718:L720)</f>
        <v>0</v>
      </c>
      <c r="N717" s="1"/>
    </row>
    <row r="718" spans="2:14" x14ac:dyDescent="0.35">
      <c r="B718" s="5" t="str">
        <f t="shared" si="785"/>
        <v>SPS1</v>
      </c>
      <c r="C718" s="5" t="str">
        <f t="shared" si="785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8">B718</f>
        <v>SPS1</v>
      </c>
      <c r="C719" s="5" t="str">
        <f t="shared" si="788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8"/>
        <v>SPS1</v>
      </c>
      <c r="C720" s="5" t="str">
        <f t="shared" si="788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8"/>
        <v>SPS1</v>
      </c>
      <c r="C721" s="9" t="str">
        <f t="shared" si="788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89">G722</f>
        <v>0</v>
      </c>
      <c r="H721" s="17">
        <f t="shared" si="789"/>
        <v>0</v>
      </c>
      <c r="I721" s="17">
        <f t="shared" si="789"/>
        <v>0</v>
      </c>
      <c r="J721" s="17">
        <f t="shared" si="789"/>
        <v>0</v>
      </c>
      <c r="K721" s="17">
        <f t="shared" si="789"/>
        <v>0</v>
      </c>
      <c r="L721" s="17">
        <f t="shared" si="789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0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1">SUM(G723,G725)</f>
        <v>0</v>
      </c>
      <c r="H722" s="18">
        <f t="shared" si="791"/>
        <v>0</v>
      </c>
      <c r="I722" s="18">
        <f t="shared" si="791"/>
        <v>0</v>
      </c>
      <c r="J722" s="18">
        <f t="shared" si="791"/>
        <v>0</v>
      </c>
      <c r="K722" s="18">
        <f t="shared" si="791"/>
        <v>0</v>
      </c>
      <c r="L722" s="18">
        <f t="shared" ref="L722" si="792">SUM(L723,L725)</f>
        <v>0</v>
      </c>
      <c r="N722" s="1"/>
    </row>
    <row r="723" spans="2:14" x14ac:dyDescent="0.35">
      <c r="B723" s="5" t="str">
        <f t="shared" ref="B723:B728" si="793">B722</f>
        <v>SPS1</v>
      </c>
      <c r="C723" s="5" t="str">
        <f t="shared" si="790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4">G724</f>
        <v>0</v>
      </c>
      <c r="H723" s="18">
        <f t="shared" si="794"/>
        <v>0</v>
      </c>
      <c r="I723" s="18">
        <f t="shared" si="794"/>
        <v>0</v>
      </c>
      <c r="J723" s="18">
        <f t="shared" si="794"/>
        <v>0</v>
      </c>
      <c r="K723" s="18">
        <f t="shared" si="794"/>
        <v>0</v>
      </c>
      <c r="L723" s="18">
        <f t="shared" si="794"/>
        <v>0</v>
      </c>
      <c r="N723" s="1"/>
    </row>
    <row r="724" spans="2:14" x14ac:dyDescent="0.35">
      <c r="B724" s="5" t="str">
        <f t="shared" si="793"/>
        <v>SPS1</v>
      </c>
      <c r="C724" s="5" t="str">
        <f t="shared" si="790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3"/>
        <v>SPS1</v>
      </c>
      <c r="C725" s="5" t="str">
        <f t="shared" si="790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5">SUM(G726:G728)</f>
        <v>0</v>
      </c>
      <c r="H725" s="18">
        <f t="shared" si="795"/>
        <v>0</v>
      </c>
      <c r="I725" s="18">
        <f t="shared" si="795"/>
        <v>0</v>
      </c>
      <c r="J725" s="18">
        <f t="shared" si="795"/>
        <v>0</v>
      </c>
      <c r="K725" s="18">
        <f t="shared" si="795"/>
        <v>0</v>
      </c>
      <c r="L725" s="18">
        <f t="shared" ref="L725" si="796">SUM(L726:L728)</f>
        <v>0</v>
      </c>
      <c r="N725" s="1"/>
    </row>
    <row r="726" spans="2:14" x14ac:dyDescent="0.35">
      <c r="B726" s="5" t="str">
        <f t="shared" si="793"/>
        <v>SPS1</v>
      </c>
      <c r="C726" s="5" t="str">
        <f t="shared" si="790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3"/>
        <v>SPS1</v>
      </c>
      <c r="C727" s="5" t="str">
        <f t="shared" si="790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3"/>
        <v>SPS1</v>
      </c>
      <c r="C728" s="5" t="str">
        <f t="shared" si="790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7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8">IFERROR(G716/G724,"-")</f>
        <v>-</v>
      </c>
      <c r="H730" s="14" t="str">
        <f t="shared" si="798"/>
        <v>-</v>
      </c>
      <c r="I730" s="14" t="str">
        <f t="shared" si="798"/>
        <v>-</v>
      </c>
      <c r="J730" s="14" t="str">
        <f t="shared" si="798"/>
        <v>-</v>
      </c>
      <c r="K730" s="14" t="str">
        <f t="shared" si="798"/>
        <v>-</v>
      </c>
      <c r="L730" s="14" t="str">
        <f t="shared" ref="L730" si="799">IFERROR(L716/L724,"-")</f>
        <v>-</v>
      </c>
      <c r="N730" s="1"/>
    </row>
    <row r="731" spans="2:14" x14ac:dyDescent="0.35">
      <c r="B731" s="5" t="str">
        <f t="shared" ref="B731:B735" si="800">B730</f>
        <v>SPS1</v>
      </c>
      <c r="C731" s="5" t="str">
        <f t="shared" si="797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1">IFERROR(G718/G726,"-")</f>
        <v>-</v>
      </c>
      <c r="H731" s="16" t="str">
        <f t="shared" si="801"/>
        <v>-</v>
      </c>
      <c r="I731" s="16" t="str">
        <f t="shared" si="801"/>
        <v>-</v>
      </c>
      <c r="J731" s="16" t="str">
        <f t="shared" si="801"/>
        <v>-</v>
      </c>
      <c r="K731" s="16" t="str">
        <f t="shared" si="801"/>
        <v>-</v>
      </c>
      <c r="L731" s="16" t="str">
        <f t="shared" ref="L731" si="802">IFERROR(L718/L726,"-")</f>
        <v>-</v>
      </c>
      <c r="M731" s="9"/>
      <c r="N731" s="1"/>
    </row>
    <row r="732" spans="2:14" x14ac:dyDescent="0.35">
      <c r="B732" s="5" t="str">
        <f t="shared" si="800"/>
        <v>SPS1</v>
      </c>
      <c r="C732" s="5" t="str">
        <f t="shared" si="797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3">IFERROR(G719/G727,"-")</f>
        <v>-</v>
      </c>
      <c r="H732" s="16" t="str">
        <f t="shared" si="803"/>
        <v>-</v>
      </c>
      <c r="I732" s="16" t="str">
        <f t="shared" si="803"/>
        <v>-</v>
      </c>
      <c r="J732" s="16" t="str">
        <f t="shared" si="803"/>
        <v>-</v>
      </c>
      <c r="K732" s="16" t="str">
        <f t="shared" si="803"/>
        <v>-</v>
      </c>
      <c r="L732" s="16" t="str">
        <f t="shared" ref="L732" si="804">IFERROR(L719/L727,"-")</f>
        <v>-</v>
      </c>
      <c r="M732" s="9"/>
      <c r="N732" s="1"/>
    </row>
    <row r="733" spans="2:14" x14ac:dyDescent="0.35">
      <c r="B733" s="5" t="str">
        <f t="shared" si="800"/>
        <v>SPS1</v>
      </c>
      <c r="C733" s="5" t="str">
        <f t="shared" si="797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5">IFERROR(G720/G728,"-")</f>
        <v>-</v>
      </c>
      <c r="H733" s="16" t="str">
        <f t="shared" si="805"/>
        <v>-</v>
      </c>
      <c r="I733" s="16" t="str">
        <f t="shared" si="805"/>
        <v>-</v>
      </c>
      <c r="J733" s="16" t="str">
        <f t="shared" si="805"/>
        <v>-</v>
      </c>
      <c r="K733" s="16" t="str">
        <f t="shared" si="805"/>
        <v>-</v>
      </c>
      <c r="L733" s="16" t="str">
        <f t="shared" ref="L733" si="806">IFERROR(L720/L728,"-")</f>
        <v>-</v>
      </c>
      <c r="M733" s="9"/>
      <c r="N733" s="1"/>
    </row>
    <row r="734" spans="2:14" x14ac:dyDescent="0.35">
      <c r="B734" s="5" t="str">
        <f t="shared" si="800"/>
        <v>SPS1</v>
      </c>
      <c r="C734" s="5" t="str">
        <f t="shared" si="797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7">G735</f>
        <v>0</v>
      </c>
      <c r="H734" s="17">
        <f t="shared" ref="H734" si="808">H735</f>
        <v>0</v>
      </c>
      <c r="I734" s="17">
        <f t="shared" ref="I734" si="809">I735</f>
        <v>0</v>
      </c>
      <c r="J734" s="17">
        <f t="shared" ref="J734" si="810">J735</f>
        <v>0</v>
      </c>
      <c r="K734" s="17">
        <f t="shared" ref="K734:L734" si="811">K735</f>
        <v>0</v>
      </c>
      <c r="L734" s="17">
        <f t="shared" si="811"/>
        <v>0</v>
      </c>
      <c r="M734" s="9"/>
      <c r="N734" s="1"/>
    </row>
    <row r="735" spans="2:14" x14ac:dyDescent="0.35">
      <c r="B735" s="5" t="str">
        <f t="shared" si="800"/>
        <v>SPS1</v>
      </c>
      <c r="C735" s="5" t="str">
        <f t="shared" si="797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2">SUM(G739,G741)</f>
        <v>0</v>
      </c>
      <c r="H735" s="18">
        <f t="shared" ref="H735" si="813">SUM(H739,H741)</f>
        <v>0</v>
      </c>
      <c r="I735" s="18">
        <f t="shared" ref="I735" si="814">SUM(I739,I741)</f>
        <v>0</v>
      </c>
      <c r="J735" s="18">
        <f t="shared" ref="J735" si="815">SUM(J739,J741)</f>
        <v>0</v>
      </c>
      <c r="K735" s="18">
        <f t="shared" ref="K735:L735" si="816">SUM(K739,K741)</f>
        <v>0</v>
      </c>
      <c r="L735" s="18">
        <f t="shared" si="816"/>
        <v>0</v>
      </c>
      <c r="M735" s="9"/>
      <c r="N735" s="1"/>
    </row>
    <row r="736" spans="2:14" x14ac:dyDescent="0.35">
      <c r="B736" s="5" t="str">
        <f t="shared" ref="B736:C738" si="817">B735</f>
        <v>SPS1</v>
      </c>
      <c r="C736" s="5" t="str">
        <f t="shared" si="817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>
        <f>IFERROR(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7"/>
        <v>SPS1</v>
      </c>
      <c r="C737" s="5" t="str">
        <f t="shared" si="817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IFERROR(J735-J736-J738,0)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7"/>
        <v>SPS1</v>
      </c>
      <c r="C738" s="5" t="str">
        <f t="shared" si="817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>
        <f>IFERROR(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735,0)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8">G740</f>
        <v>0</v>
      </c>
      <c r="H739" s="18">
        <f t="shared" ref="H739" si="819">H740</f>
        <v>0</v>
      </c>
      <c r="I739" s="18">
        <f t="shared" ref="I739" si="820">I740</f>
        <v>0</v>
      </c>
      <c r="J739" s="18">
        <f t="shared" ref="J739" si="821">J740</f>
        <v>0</v>
      </c>
      <c r="K739" s="18">
        <f t="shared" ref="K739:L739" si="822">K740</f>
        <v>0</v>
      </c>
      <c r="L739" s="18">
        <f t="shared" si="822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3">B740</f>
        <v>SPS1</v>
      </c>
      <c r="C741" s="5" t="str">
        <f t="shared" ref="C741:C744" si="824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5">SUM(G742:G744)</f>
        <v>0</v>
      </c>
      <c r="H741" s="18">
        <f t="shared" ref="H741" si="826">SUM(H742:H744)</f>
        <v>0</v>
      </c>
      <c r="I741" s="18">
        <f t="shared" ref="I741" si="827">SUM(I742:I744)</f>
        <v>0</v>
      </c>
      <c r="J741" s="18">
        <f t="shared" ref="J741" si="828">SUM(J742:J744)</f>
        <v>0</v>
      </c>
      <c r="K741" s="18">
        <f t="shared" ref="K741:L741" si="829">SUM(K742:K744)</f>
        <v>0</v>
      </c>
      <c r="L741" s="18">
        <f t="shared" si="829"/>
        <v>0</v>
      </c>
      <c r="N741" s="1"/>
    </row>
    <row r="742" spans="2:14" x14ac:dyDescent="0.35">
      <c r="B742" s="5" t="str">
        <f t="shared" si="823"/>
        <v>SPS1</v>
      </c>
      <c r="C742" s="5" t="str">
        <f t="shared" si="824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3"/>
        <v>SPS1</v>
      </c>
      <c r="C743" s="5" t="str">
        <f t="shared" si="824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3"/>
        <v>SPS1</v>
      </c>
      <c r="C744" s="5" t="str">
        <f t="shared" si="824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0">IFERROR(G$736/G$735,0)*G739</f>
        <v>0</v>
      </c>
      <c r="H745" s="18">
        <f t="shared" si="830"/>
        <v>0</v>
      </c>
      <c r="I745" s="18">
        <f t="shared" si="830"/>
        <v>0</v>
      </c>
      <c r="J745" s="18">
        <f t="shared" si="830"/>
        <v>0</v>
      </c>
      <c r="K745" s="18">
        <f t="shared" si="830"/>
        <v>0</v>
      </c>
      <c r="L745" s="18">
        <f t="shared" ref="L745" si="831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2">IFERROR(F$736/F$735,0)*F740</f>
        <v>0</v>
      </c>
      <c r="G746" s="18">
        <f t="shared" si="832"/>
        <v>0</v>
      </c>
      <c r="H746" s="18">
        <f t="shared" si="832"/>
        <v>0</v>
      </c>
      <c r="I746" s="18">
        <f t="shared" si="832"/>
        <v>0</v>
      </c>
      <c r="J746" s="18">
        <f t="shared" si="832"/>
        <v>0</v>
      </c>
      <c r="K746" s="18">
        <f t="shared" si="832"/>
        <v>0</v>
      </c>
      <c r="L746" s="18">
        <f t="shared" ref="L746" si="833">IFERROR(L$736/L$735,0)*L740</f>
        <v>0</v>
      </c>
      <c r="N746" s="1"/>
    </row>
    <row r="747" spans="2:14" x14ac:dyDescent="0.35">
      <c r="B747" s="5" t="str">
        <f t="shared" ref="B747:B750" si="834">B746</f>
        <v>SPS1</v>
      </c>
      <c r="C747" s="5" t="str">
        <f t="shared" ref="C747:C750" si="835">C746</f>
        <v>CH</v>
      </c>
      <c r="D747" t="s">
        <v>934</v>
      </c>
      <c r="E747" s="5" t="s">
        <v>442</v>
      </c>
      <c r="F747" s="18">
        <f t="shared" ref="F747:K747" si="836">IFERROR(F$736/F$735,0)*F741</f>
        <v>0</v>
      </c>
      <c r="G747" s="18">
        <f t="shared" si="836"/>
        <v>0</v>
      </c>
      <c r="H747" s="18">
        <f t="shared" si="836"/>
        <v>0</v>
      </c>
      <c r="I747" s="18">
        <f t="shared" si="836"/>
        <v>0</v>
      </c>
      <c r="J747" s="18">
        <f t="shared" si="836"/>
        <v>0</v>
      </c>
      <c r="K747" s="18">
        <f t="shared" si="836"/>
        <v>0</v>
      </c>
      <c r="L747" s="18">
        <f t="shared" ref="L747" si="837">IFERROR(L$736/L$735,0)*L741</f>
        <v>0</v>
      </c>
      <c r="N747" s="1"/>
    </row>
    <row r="748" spans="2:14" x14ac:dyDescent="0.35">
      <c r="B748" s="5" t="str">
        <f t="shared" si="834"/>
        <v>SPS1</v>
      </c>
      <c r="C748" s="5" t="str">
        <f t="shared" si="835"/>
        <v>CH</v>
      </c>
      <c r="D748" t="s">
        <v>457</v>
      </c>
      <c r="E748" s="5" t="s">
        <v>442</v>
      </c>
      <c r="F748" s="18">
        <f t="shared" ref="F748:K748" si="838">IFERROR(F$736/F$735,0)*F742</f>
        <v>0</v>
      </c>
      <c r="G748" s="18">
        <f t="shared" si="838"/>
        <v>0</v>
      </c>
      <c r="H748" s="18">
        <f t="shared" si="838"/>
        <v>0</v>
      </c>
      <c r="I748" s="18">
        <f t="shared" si="838"/>
        <v>0</v>
      </c>
      <c r="J748" s="18">
        <f t="shared" si="838"/>
        <v>0</v>
      </c>
      <c r="K748" s="18">
        <f t="shared" si="838"/>
        <v>0</v>
      </c>
      <c r="L748" s="18">
        <f t="shared" ref="L748" si="839">IFERROR(L$736/L$735,0)*L742</f>
        <v>0</v>
      </c>
      <c r="N748" s="1"/>
    </row>
    <row r="749" spans="2:14" x14ac:dyDescent="0.35">
      <c r="B749" s="5" t="str">
        <f t="shared" si="834"/>
        <v>SPS1</v>
      </c>
      <c r="C749" s="5" t="str">
        <f t="shared" si="835"/>
        <v>CH</v>
      </c>
      <c r="D749" t="s">
        <v>458</v>
      </c>
      <c r="E749" s="5" t="s">
        <v>442</v>
      </c>
      <c r="F749" s="18">
        <f t="shared" ref="F749:K749" si="840">IFERROR(F$736/F$735,0)*F743</f>
        <v>0</v>
      </c>
      <c r="G749" s="18">
        <f t="shared" si="840"/>
        <v>0</v>
      </c>
      <c r="H749" s="18">
        <f t="shared" si="840"/>
        <v>0</v>
      </c>
      <c r="I749" s="18">
        <f t="shared" si="840"/>
        <v>0</v>
      </c>
      <c r="J749" s="18">
        <f t="shared" si="840"/>
        <v>0</v>
      </c>
      <c r="K749" s="18">
        <f t="shared" si="840"/>
        <v>0</v>
      </c>
      <c r="L749" s="18">
        <f t="shared" ref="L749" si="841">IFERROR(L$736/L$735,0)*L743</f>
        <v>0</v>
      </c>
      <c r="N749" s="1"/>
    </row>
    <row r="750" spans="2:14" x14ac:dyDescent="0.35">
      <c r="B750" s="5" t="str">
        <f t="shared" si="834"/>
        <v>SPS1</v>
      </c>
      <c r="C750" s="5" t="str">
        <f t="shared" si="835"/>
        <v>CH</v>
      </c>
      <c r="D750" t="s">
        <v>459</v>
      </c>
      <c r="E750" s="5" t="s">
        <v>442</v>
      </c>
      <c r="F750" s="18">
        <f t="shared" ref="F750:K750" si="842">IFERROR(F$736/F$735,0)*F744</f>
        <v>0</v>
      </c>
      <c r="G750" s="18">
        <f t="shared" si="842"/>
        <v>0</v>
      </c>
      <c r="H750" s="18">
        <f t="shared" si="842"/>
        <v>0</v>
      </c>
      <c r="I750" s="18">
        <f t="shared" si="842"/>
        <v>0</v>
      </c>
      <c r="J750" s="18">
        <f t="shared" si="842"/>
        <v>0</v>
      </c>
      <c r="K750" s="18">
        <f t="shared" si="842"/>
        <v>0</v>
      </c>
      <c r="L750" s="18">
        <f t="shared" ref="L750" si="843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4">IFERROR(G$737/G$735,0)*G739</f>
        <v>0</v>
      </c>
      <c r="H751" s="18">
        <f t="shared" si="844"/>
        <v>0</v>
      </c>
      <c r="I751" s="18">
        <f t="shared" si="844"/>
        <v>0</v>
      </c>
      <c r="J751" s="18">
        <f t="shared" si="844"/>
        <v>0</v>
      </c>
      <c r="K751" s="18">
        <f t="shared" si="844"/>
        <v>0</v>
      </c>
      <c r="L751" s="18">
        <f t="shared" ref="L751" si="845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6">IFERROR(F$737/F$735,0)*F740</f>
        <v>0</v>
      </c>
      <c r="G752" s="18">
        <f t="shared" si="846"/>
        <v>0</v>
      </c>
      <c r="H752" s="18">
        <f t="shared" si="846"/>
        <v>0</v>
      </c>
      <c r="I752" s="18">
        <f t="shared" si="846"/>
        <v>0</v>
      </c>
      <c r="J752" s="18">
        <f t="shared" si="846"/>
        <v>0</v>
      </c>
      <c r="K752" s="18">
        <f t="shared" si="846"/>
        <v>0</v>
      </c>
      <c r="L752" s="18">
        <f t="shared" ref="L752" si="847">IFERROR(L$737/L$735,0)*L740</f>
        <v>0</v>
      </c>
      <c r="N752" s="1"/>
    </row>
    <row r="753" spans="2:14" x14ac:dyDescent="0.35">
      <c r="B753" s="5" t="str">
        <f t="shared" ref="B753:B756" si="848">B752</f>
        <v>SPS1</v>
      </c>
      <c r="C753" s="5" t="str">
        <f t="shared" ref="C753:C756" si="849">C752</f>
        <v>CH</v>
      </c>
      <c r="D753" t="s">
        <v>936</v>
      </c>
      <c r="E753" s="5" t="s">
        <v>442</v>
      </c>
      <c r="F753" s="18">
        <f t="shared" ref="F753:K753" si="850">IFERROR(F$737/F$735,0)*F741</f>
        <v>0</v>
      </c>
      <c r="G753" s="18">
        <f t="shared" si="850"/>
        <v>0</v>
      </c>
      <c r="H753" s="18">
        <f t="shared" si="850"/>
        <v>0</v>
      </c>
      <c r="I753" s="18">
        <f t="shared" si="850"/>
        <v>0</v>
      </c>
      <c r="J753" s="18">
        <f t="shared" si="850"/>
        <v>0</v>
      </c>
      <c r="K753" s="18">
        <f t="shared" si="850"/>
        <v>0</v>
      </c>
      <c r="L753" s="18">
        <f t="shared" ref="L753" si="851">IFERROR(L$737/L$735,0)*L741</f>
        <v>0</v>
      </c>
      <c r="N753" s="1"/>
    </row>
    <row r="754" spans="2:14" x14ac:dyDescent="0.35">
      <c r="B754" s="5" t="str">
        <f t="shared" si="848"/>
        <v>SPS1</v>
      </c>
      <c r="C754" s="5" t="str">
        <f t="shared" si="849"/>
        <v>CH</v>
      </c>
      <c r="D754" t="s">
        <v>461</v>
      </c>
      <c r="E754" s="5" t="s">
        <v>442</v>
      </c>
      <c r="F754" s="18">
        <f t="shared" ref="F754:K754" si="852">IFERROR(F$737/F$735,0)*F742</f>
        <v>0</v>
      </c>
      <c r="G754" s="18">
        <f t="shared" si="852"/>
        <v>0</v>
      </c>
      <c r="H754" s="18">
        <f t="shared" si="852"/>
        <v>0</v>
      </c>
      <c r="I754" s="18">
        <f t="shared" si="852"/>
        <v>0</v>
      </c>
      <c r="J754" s="18">
        <f t="shared" si="852"/>
        <v>0</v>
      </c>
      <c r="K754" s="18">
        <f t="shared" si="852"/>
        <v>0</v>
      </c>
      <c r="L754" s="18">
        <f t="shared" ref="L754" si="853">IFERROR(L$737/L$735,0)*L742</f>
        <v>0</v>
      </c>
      <c r="N754" s="1"/>
    </row>
    <row r="755" spans="2:14" x14ac:dyDescent="0.35">
      <c r="B755" s="5" t="str">
        <f t="shared" si="848"/>
        <v>SPS1</v>
      </c>
      <c r="C755" s="5" t="str">
        <f t="shared" si="849"/>
        <v>CH</v>
      </c>
      <c r="D755" t="s">
        <v>462</v>
      </c>
      <c r="E755" s="5" t="s">
        <v>442</v>
      </c>
      <c r="F755" s="18">
        <f t="shared" ref="F755:K755" si="854">IFERROR(F$737/F$735,0)*F743</f>
        <v>0</v>
      </c>
      <c r="G755" s="18">
        <f t="shared" si="854"/>
        <v>0</v>
      </c>
      <c r="H755" s="18">
        <f t="shared" si="854"/>
        <v>0</v>
      </c>
      <c r="I755" s="18">
        <f t="shared" si="854"/>
        <v>0</v>
      </c>
      <c r="J755" s="18">
        <f t="shared" si="854"/>
        <v>0</v>
      </c>
      <c r="K755" s="18">
        <f t="shared" si="854"/>
        <v>0</v>
      </c>
      <c r="L755" s="18">
        <f t="shared" ref="L755" si="855">IFERROR(L$737/L$735,0)*L743</f>
        <v>0</v>
      </c>
      <c r="N755" s="1"/>
    </row>
    <row r="756" spans="2:14" x14ac:dyDescent="0.35">
      <c r="B756" s="5" t="str">
        <f t="shared" si="848"/>
        <v>SPS1</v>
      </c>
      <c r="C756" s="5" t="str">
        <f t="shared" si="849"/>
        <v>CH</v>
      </c>
      <c r="D756" t="s">
        <v>463</v>
      </c>
      <c r="E756" s="5" t="s">
        <v>442</v>
      </c>
      <c r="F756" s="18">
        <f t="shared" ref="F756:K756" si="856">IFERROR(F$737/F$735,0)*F744</f>
        <v>0</v>
      </c>
      <c r="G756" s="18">
        <f t="shared" si="856"/>
        <v>0</v>
      </c>
      <c r="H756" s="18">
        <f t="shared" si="856"/>
        <v>0</v>
      </c>
      <c r="I756" s="18">
        <f t="shared" si="856"/>
        <v>0</v>
      </c>
      <c r="J756" s="18">
        <f t="shared" si="856"/>
        <v>0</v>
      </c>
      <c r="K756" s="18">
        <f t="shared" si="856"/>
        <v>0</v>
      </c>
      <c r="L756" s="18">
        <f t="shared" ref="L756" si="857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8">IFERROR(G$738/G$735,0)*G739</f>
        <v>0</v>
      </c>
      <c r="H757" s="18">
        <f t="shared" si="858"/>
        <v>0</v>
      </c>
      <c r="I757" s="18">
        <f t="shared" si="858"/>
        <v>0</v>
      </c>
      <c r="J757" s="18">
        <f t="shared" si="858"/>
        <v>0</v>
      </c>
      <c r="K757" s="18">
        <f t="shared" si="858"/>
        <v>0</v>
      </c>
      <c r="L757" s="18">
        <f t="shared" ref="L757" si="859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0">IFERROR(F$738/F$735,0)*F740</f>
        <v>0</v>
      </c>
      <c r="G758" s="18">
        <f t="shared" si="860"/>
        <v>0</v>
      </c>
      <c r="H758" s="18">
        <f t="shared" si="860"/>
        <v>0</v>
      </c>
      <c r="I758" s="18">
        <f t="shared" si="860"/>
        <v>0</v>
      </c>
      <c r="J758" s="18">
        <f t="shared" si="860"/>
        <v>0</v>
      </c>
      <c r="K758" s="18">
        <f t="shared" si="860"/>
        <v>0</v>
      </c>
      <c r="L758" s="18">
        <f t="shared" ref="L758" si="861">IFERROR(L$738/L$735,0)*L740</f>
        <v>0</v>
      </c>
      <c r="N758" s="1"/>
    </row>
    <row r="759" spans="2:14" x14ac:dyDescent="0.35">
      <c r="B759" s="5" t="str">
        <f t="shared" ref="B759:B762" si="862">B758</f>
        <v>SPS1</v>
      </c>
      <c r="C759" s="5" t="str">
        <f t="shared" ref="C759:C762" si="863">C758</f>
        <v>CH</v>
      </c>
      <c r="D759" t="s">
        <v>938</v>
      </c>
      <c r="E759" s="5" t="s">
        <v>442</v>
      </c>
      <c r="F759" s="18">
        <f t="shared" ref="F759:K759" si="864">IFERROR(F$738/F$735,0)*F741</f>
        <v>0</v>
      </c>
      <c r="G759" s="18">
        <f t="shared" si="864"/>
        <v>0</v>
      </c>
      <c r="H759" s="18">
        <f t="shared" si="864"/>
        <v>0</v>
      </c>
      <c r="I759" s="18">
        <f t="shared" si="864"/>
        <v>0</v>
      </c>
      <c r="J759" s="18">
        <f t="shared" si="864"/>
        <v>0</v>
      </c>
      <c r="K759" s="18">
        <f t="shared" si="864"/>
        <v>0</v>
      </c>
      <c r="L759" s="18">
        <f t="shared" ref="L759" si="865">IFERROR(L$738/L$735,0)*L741</f>
        <v>0</v>
      </c>
      <c r="N759" s="1"/>
    </row>
    <row r="760" spans="2:14" x14ac:dyDescent="0.35">
      <c r="B760" s="5" t="str">
        <f t="shared" si="862"/>
        <v>SPS1</v>
      </c>
      <c r="C760" s="5" t="str">
        <f t="shared" si="863"/>
        <v>CH</v>
      </c>
      <c r="D760" t="s">
        <v>465</v>
      </c>
      <c r="E760" s="5" t="s">
        <v>442</v>
      </c>
      <c r="F760" s="18">
        <f t="shared" ref="F760:K760" si="866">IFERROR(F$738/F$735,0)*F742</f>
        <v>0</v>
      </c>
      <c r="G760" s="18">
        <f t="shared" si="866"/>
        <v>0</v>
      </c>
      <c r="H760" s="18">
        <f t="shared" si="866"/>
        <v>0</v>
      </c>
      <c r="I760" s="18">
        <f t="shared" si="866"/>
        <v>0</v>
      </c>
      <c r="J760" s="18">
        <f t="shared" si="866"/>
        <v>0</v>
      </c>
      <c r="K760" s="18">
        <f t="shared" si="866"/>
        <v>0</v>
      </c>
      <c r="L760" s="18">
        <f t="shared" ref="L760" si="867">IFERROR(L$738/L$735,0)*L742</f>
        <v>0</v>
      </c>
      <c r="N760" s="1"/>
    </row>
    <row r="761" spans="2:14" x14ac:dyDescent="0.35">
      <c r="B761" s="5" t="str">
        <f t="shared" si="862"/>
        <v>SPS1</v>
      </c>
      <c r="C761" s="5" t="str">
        <f t="shared" si="863"/>
        <v>CH</v>
      </c>
      <c r="D761" t="s">
        <v>466</v>
      </c>
      <c r="E761" s="5" t="s">
        <v>442</v>
      </c>
      <c r="F761" s="18">
        <f t="shared" ref="F761:K761" si="868">IFERROR(F$738/F$735,0)*F743</f>
        <v>0</v>
      </c>
      <c r="G761" s="18">
        <f t="shared" si="868"/>
        <v>0</v>
      </c>
      <c r="H761" s="18">
        <f t="shared" si="868"/>
        <v>0</v>
      </c>
      <c r="I761" s="18">
        <f t="shared" si="868"/>
        <v>0</v>
      </c>
      <c r="J761" s="18">
        <f t="shared" si="868"/>
        <v>0</v>
      </c>
      <c r="K761" s="18">
        <f t="shared" si="868"/>
        <v>0</v>
      </c>
      <c r="L761" s="18">
        <f t="shared" ref="L761" si="869">IFERROR(L$738/L$735,0)*L743</f>
        <v>0</v>
      </c>
      <c r="N761" s="1"/>
    </row>
    <row r="762" spans="2:14" x14ac:dyDescent="0.35">
      <c r="B762" s="5" t="str">
        <f t="shared" si="862"/>
        <v>SPS1</v>
      </c>
      <c r="C762" s="5" t="str">
        <f t="shared" si="863"/>
        <v>CH</v>
      </c>
      <c r="D762" t="s">
        <v>467</v>
      </c>
      <c r="E762" s="5" t="s">
        <v>442</v>
      </c>
      <c r="F762" s="18">
        <f t="shared" ref="F762:K762" si="870">IFERROR(F$738/F$735,0)*F744</f>
        <v>0</v>
      </c>
      <c r="G762" s="18">
        <f t="shared" si="870"/>
        <v>0</v>
      </c>
      <c r="H762" s="18">
        <f t="shared" si="870"/>
        <v>0</v>
      </c>
      <c r="I762" s="18">
        <f t="shared" si="870"/>
        <v>0</v>
      </c>
      <c r="J762" s="18">
        <f t="shared" si="870"/>
        <v>0</v>
      </c>
      <c r="K762" s="18">
        <f t="shared" si="870"/>
        <v>0</v>
      </c>
      <c r="L762" s="18">
        <f t="shared" ref="L762" si="871">IFERROR(L$738/L$735,0)*L744</f>
        <v>0</v>
      </c>
      <c r="N762" s="1"/>
    </row>
    <row r="763" spans="2:14" x14ac:dyDescent="0.35">
      <c r="B763" s="9" t="str">
        <f t="shared" ref="B763" si="872">B762</f>
        <v>SPS1</v>
      </c>
      <c r="C763" s="9" t="str">
        <f t="shared" ref="C763:C777" si="873">C762</f>
        <v>CH</v>
      </c>
      <c r="D763" s="2" t="s">
        <v>496</v>
      </c>
      <c r="E763" s="9" t="s">
        <v>8</v>
      </c>
      <c r="F763" s="17">
        <f t="shared" ref="F763:K763" si="874">F764+F768+F778+F789+F791+F803+F805+F807+F811+F813+F815</f>
        <v>142.21742137193101</v>
      </c>
      <c r="G763" s="17">
        <f t="shared" si="874"/>
        <v>142.72239583602445</v>
      </c>
      <c r="H763" s="17">
        <f t="shared" si="874"/>
        <v>148.56509218034034</v>
      </c>
      <c r="I763" s="17">
        <f t="shared" si="874"/>
        <v>149.71092027584598</v>
      </c>
      <c r="J763" s="17">
        <f t="shared" si="874"/>
        <v>150.92874300565765</v>
      </c>
      <c r="K763" s="17">
        <f t="shared" si="874"/>
        <v>151.40208241282741</v>
      </c>
      <c r="L763" s="17">
        <f t="shared" ref="L763" si="875">L764+L768+L778+L789+L791+L803+L805+L807+L811+L813+L815</f>
        <v>152.05765790598838</v>
      </c>
      <c r="N763" s="1"/>
    </row>
    <row r="764" spans="2:14" x14ac:dyDescent="0.35">
      <c r="B764" s="5" t="str">
        <f>B763</f>
        <v>SPS1</v>
      </c>
      <c r="C764" s="5" t="str">
        <f t="shared" si="873"/>
        <v>CH</v>
      </c>
      <c r="D764" t="s">
        <v>939</v>
      </c>
      <c r="E764" t="s">
        <v>8</v>
      </c>
      <c r="F764" s="18">
        <f>[1]Industry!B$11</f>
        <v>60.07001492343538</v>
      </c>
      <c r="G764" s="18">
        <f>[1]Industry!C$11</f>
        <v>61.585624125267366</v>
      </c>
      <c r="H764" s="18">
        <f>[1]Industry!D$11</f>
        <v>64.629933566078819</v>
      </c>
      <c r="I764" s="18">
        <f>[1]Industry!E$11</f>
        <v>67.246281769433907</v>
      </c>
      <c r="J764" s="18">
        <f>[2]Industry!F$11</f>
        <v>69.208321093409666</v>
      </c>
      <c r="K764" s="18">
        <f>[2]Industry!G$11</f>
        <v>69.658173611530842</v>
      </c>
      <c r="L764" s="18">
        <f>[2]Industry!H$11</f>
        <v>71.443565151933029</v>
      </c>
      <c r="N764" s="1"/>
    </row>
    <row r="765" spans="2:14" x14ac:dyDescent="0.35">
      <c r="B765" s="5" t="str">
        <f t="shared" ref="B765:B777" si="876">B764</f>
        <v>SPS1</v>
      </c>
      <c r="C765" s="5" t="str">
        <f t="shared" si="873"/>
        <v>CH</v>
      </c>
      <c r="D765" t="s">
        <v>758</v>
      </c>
      <c r="E765" t="s">
        <v>8</v>
      </c>
      <c r="F765" s="1">
        <f t="shared" ref="F765:J765" si="877">F764-F766-F767</f>
        <v>11.646944142451019</v>
      </c>
      <c r="G765" s="1">
        <f t="shared" si="877"/>
        <v>12.258978194772006</v>
      </c>
      <c r="H765" s="1">
        <f t="shared" si="877"/>
        <v>12.535506085223162</v>
      </c>
      <c r="I765" s="1">
        <f t="shared" si="877"/>
        <v>12.945635257265991</v>
      </c>
      <c r="J765" s="1">
        <f t="shared" si="877"/>
        <v>13.736322283766761</v>
      </c>
      <c r="K765" s="1">
        <f>K764-K766-K767</f>
        <v>13.718206064705768</v>
      </c>
      <c r="L765" s="1">
        <f>L764-L766-L767</f>
        <v>14.07592591299008</v>
      </c>
      <c r="M765" s="1"/>
      <c r="N765" s="1"/>
    </row>
    <row r="766" spans="2:14" x14ac:dyDescent="0.35">
      <c r="B766" s="5" t="str">
        <f t="shared" si="876"/>
        <v>SPS1</v>
      </c>
      <c r="C766" s="5" t="str">
        <f t="shared" si="873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0.35967312881337293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0.45106317504486559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0.44587235566669875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1.2439231165158215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1.5515262323275294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1.5277608803562952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1.4733773650630702</v>
      </c>
      <c r="N766" s="1"/>
    </row>
    <row r="767" spans="2:14" x14ac:dyDescent="0.35">
      <c r="B767" s="5" t="str">
        <f t="shared" si="876"/>
        <v>SPS1</v>
      </c>
      <c r="C767" s="5" t="str">
        <f t="shared" si="873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48.875582755450495</v>
      </c>
      <c r="H767" s="1">
        <f>[1]Industry!D$11-[1]Industry!D$33</f>
        <v>51.648555125188963</v>
      </c>
      <c r="I767" s="1">
        <f>[1]Industry!E$11-[1]Industry!E$33</f>
        <v>53.056723395652099</v>
      </c>
      <c r="J767" s="1">
        <f>[2]Industry!F$11-[2]Industry!F$33</f>
        <v>53.920472577315373</v>
      </c>
      <c r="K767" s="1">
        <f>[2]Industry!G$11-[2]Industry!G$33</f>
        <v>54.412206666468776</v>
      </c>
      <c r="L767" s="1">
        <f>[2]Industry!H$11-[2]Industry!H$33</f>
        <v>55.894261873879877</v>
      </c>
      <c r="N767" s="1"/>
    </row>
    <row r="768" spans="2:14" x14ac:dyDescent="0.35">
      <c r="B768" s="5" t="str">
        <f t="shared" si="876"/>
        <v>SPS1</v>
      </c>
      <c r="C768" s="5" t="str">
        <f t="shared" si="873"/>
        <v>CH</v>
      </c>
      <c r="D768" t="s">
        <v>469</v>
      </c>
      <c r="E768" t="s">
        <v>8</v>
      </c>
      <c r="F768" s="1">
        <f>SUM(F771,F776)</f>
        <v>11.627814315180057</v>
      </c>
      <c r="G768" s="1">
        <f t="shared" ref="G768:K768" si="878">SUM(G771,G776)</f>
        <v>10.823219899260843</v>
      </c>
      <c r="H768" s="1">
        <f t="shared" si="878"/>
        <v>8.2578764313231936</v>
      </c>
      <c r="I768" s="1">
        <f t="shared" si="878"/>
        <v>6.7229384336947655</v>
      </c>
      <c r="J768" s="1">
        <f t="shared" si="878"/>
        <v>5.1106921658997182</v>
      </c>
      <c r="K768" s="1">
        <f t="shared" si="878"/>
        <v>3.4928228941448678</v>
      </c>
      <c r="L768" s="1">
        <f t="shared" ref="L768" si="879">SUM(L771,L776)</f>
        <v>0.26445579843488631</v>
      </c>
      <c r="N768" s="1"/>
    </row>
    <row r="769" spans="2:14" x14ac:dyDescent="0.35">
      <c r="B769" s="5" t="str">
        <f t="shared" si="876"/>
        <v>SPS1</v>
      </c>
      <c r="C769" s="5" t="str">
        <f t="shared" si="873"/>
        <v>CH</v>
      </c>
      <c r="D769" t="s">
        <v>470</v>
      </c>
      <c r="E769" t="s">
        <v>8</v>
      </c>
      <c r="F769" s="1">
        <f>SUM(F773,F777)</f>
        <v>8.8978100102315807</v>
      </c>
      <c r="G769" s="1">
        <f t="shared" ref="G769:K769" si="880">SUM(G773,G777)</f>
        <v>8.1049791533429705</v>
      </c>
      <c r="H769" s="1">
        <f t="shared" si="880"/>
        <v>8.2567088394417052</v>
      </c>
      <c r="I769" s="1">
        <f t="shared" si="880"/>
        <v>6.7227248231993846</v>
      </c>
      <c r="J769" s="1">
        <f t="shared" si="880"/>
        <v>5.1105002782376099</v>
      </c>
      <c r="K769" s="1">
        <f t="shared" si="880"/>
        <v>3.4927324182716428</v>
      </c>
      <c r="L769" s="1">
        <f t="shared" ref="L769" si="881">SUM(L773,L777)</f>
        <v>0.26445579843488631</v>
      </c>
      <c r="N769" s="1"/>
    </row>
    <row r="770" spans="2:14" x14ac:dyDescent="0.35">
      <c r="B770" s="5" t="str">
        <f t="shared" si="876"/>
        <v>SPS1</v>
      </c>
      <c r="C770" s="5" t="str">
        <f t="shared" si="873"/>
        <v>CH</v>
      </c>
      <c r="D770" t="s">
        <v>471</v>
      </c>
      <c r="E770" t="s">
        <v>8</v>
      </c>
      <c r="F770" s="1">
        <f>F775</f>
        <v>2.7300043049484755</v>
      </c>
      <c r="G770" s="1">
        <f t="shared" ref="G770:K770" si="882">G775</f>
        <v>2.7182407459178735</v>
      </c>
      <c r="H770" s="1">
        <f t="shared" si="882"/>
        <v>1.1675918814892839E-3</v>
      </c>
      <c r="I770" s="1">
        <f t="shared" si="882"/>
        <v>2.1361049538120043E-4</v>
      </c>
      <c r="J770" s="1">
        <f t="shared" si="882"/>
        <v>1.9188766210856832E-4</v>
      </c>
      <c r="K770" s="1">
        <f t="shared" si="882"/>
        <v>9.0475873225181471E-5</v>
      </c>
      <c r="L770" s="1">
        <f t="shared" ref="L770" si="883">L775</f>
        <v>0</v>
      </c>
      <c r="N770" s="1"/>
    </row>
    <row r="771" spans="2:14" x14ac:dyDescent="0.35">
      <c r="B771" s="5" t="str">
        <f t="shared" si="876"/>
        <v>SPS1</v>
      </c>
      <c r="C771" s="5" t="str">
        <f t="shared" si="873"/>
        <v>CH</v>
      </c>
      <c r="D771" t="s">
        <v>940</v>
      </c>
      <c r="E771" t="s">
        <v>8</v>
      </c>
      <c r="F771" s="1">
        <f>SUM(F772,F774)</f>
        <v>11.627814315180057</v>
      </c>
      <c r="G771" s="1">
        <f t="shared" ref="G771:K771" si="884">SUM(G772,G774)</f>
        <v>10.823219899260843</v>
      </c>
      <c r="H771" s="1">
        <f t="shared" si="884"/>
        <v>8.2578514400322582</v>
      </c>
      <c r="I771" s="1">
        <f t="shared" si="884"/>
        <v>5.9027323069497575</v>
      </c>
      <c r="J771" s="1">
        <f t="shared" si="884"/>
        <v>5.1105431076834922</v>
      </c>
      <c r="K771" s="1">
        <f t="shared" si="884"/>
        <v>3.4926576367862672</v>
      </c>
      <c r="L771" s="1">
        <f t="shared" ref="L771" si="885">SUM(L772,L774)</f>
        <v>0.26432474104783454</v>
      </c>
      <c r="N771" s="1"/>
    </row>
    <row r="772" spans="2:14" x14ac:dyDescent="0.35">
      <c r="B772" s="5" t="str">
        <f t="shared" si="876"/>
        <v>SPS1</v>
      </c>
      <c r="C772" s="5" t="str">
        <f t="shared" si="873"/>
        <v>CH</v>
      </c>
      <c r="D772" t="s">
        <v>525</v>
      </c>
      <c r="E772" t="s">
        <v>8</v>
      </c>
      <c r="F772" s="1">
        <f>[1]Industry!B$34</f>
        <v>8.8978100102315807</v>
      </c>
      <c r="G772" s="1">
        <f>[1]Industry!C$34</f>
        <v>8.1049791533429705</v>
      </c>
      <c r="H772" s="1">
        <f>[1]Industry!D$34</f>
        <v>8.2566838481507698</v>
      </c>
      <c r="I772" s="1">
        <f>[1]Industry!E$34</f>
        <v>5.9025186964543765</v>
      </c>
      <c r="J772" s="1">
        <f>[2]Industry!F$34</f>
        <v>5.1103512200213839</v>
      </c>
      <c r="K772" s="1">
        <f>[2]Industry!G$34</f>
        <v>3.4925671609130422</v>
      </c>
      <c r="L772" s="1">
        <f>[2]Industry!H$34</f>
        <v>0.26432474104783454</v>
      </c>
      <c r="N772" s="1"/>
    </row>
    <row r="773" spans="2:14" x14ac:dyDescent="0.35">
      <c r="B773" s="5" t="str">
        <f t="shared" si="876"/>
        <v>SPS1</v>
      </c>
      <c r="C773" s="5" t="str">
        <f t="shared" si="873"/>
        <v>CH</v>
      </c>
      <c r="D773" t="s">
        <v>526</v>
      </c>
      <c r="E773" t="s">
        <v>8</v>
      </c>
      <c r="F773" s="1">
        <f>F772</f>
        <v>8.8978100102315807</v>
      </c>
      <c r="G773" s="1">
        <f t="shared" ref="G773:K773" si="886">G772</f>
        <v>8.1049791533429705</v>
      </c>
      <c r="H773" s="1">
        <f t="shared" si="886"/>
        <v>8.2566838481507698</v>
      </c>
      <c r="I773" s="1">
        <f t="shared" si="886"/>
        <v>5.9025186964543765</v>
      </c>
      <c r="J773" s="1">
        <f t="shared" si="886"/>
        <v>5.1103512200213839</v>
      </c>
      <c r="K773" s="1">
        <f t="shared" si="886"/>
        <v>3.4925671609130422</v>
      </c>
      <c r="L773" s="1">
        <f t="shared" ref="L773" si="887">L772</f>
        <v>0.26432474104783454</v>
      </c>
      <c r="N773" s="1"/>
    </row>
    <row r="774" spans="2:14" x14ac:dyDescent="0.35">
      <c r="B774" s="5" t="str">
        <f t="shared" si="876"/>
        <v>SPS1</v>
      </c>
      <c r="C774" s="5" t="str">
        <f t="shared" si="873"/>
        <v>CH</v>
      </c>
      <c r="D774" t="s">
        <v>527</v>
      </c>
      <c r="E774" t="s">
        <v>8</v>
      </c>
      <c r="F774" s="1">
        <f>[1]Industry!B$35</f>
        <v>2.7300043049484755</v>
      </c>
      <c r="G774" s="1">
        <f>[1]Industry!C$35</f>
        <v>2.7182407459178735</v>
      </c>
      <c r="H774" s="1">
        <f>[1]Industry!D$35</f>
        <v>1.1675918814892839E-3</v>
      </c>
      <c r="I774" s="1">
        <f>[1]Industry!E$35</f>
        <v>2.1361049538120043E-4</v>
      </c>
      <c r="J774" s="1">
        <f>[2]Industry!F$35</f>
        <v>1.9188766210856832E-4</v>
      </c>
      <c r="K774" s="1">
        <f>[2]Industry!G$35</f>
        <v>9.0475873225181471E-5</v>
      </c>
      <c r="L774" s="1">
        <f>[2]Industry!H$35</f>
        <v>0</v>
      </c>
      <c r="N774" s="1"/>
    </row>
    <row r="775" spans="2:14" x14ac:dyDescent="0.35">
      <c r="B775" s="5" t="str">
        <f t="shared" si="876"/>
        <v>SPS1</v>
      </c>
      <c r="C775" s="5" t="str">
        <f t="shared" si="873"/>
        <v>CH</v>
      </c>
      <c r="D775" t="s">
        <v>943</v>
      </c>
      <c r="E775" t="s">
        <v>8</v>
      </c>
      <c r="F775" s="1">
        <f>F774</f>
        <v>2.7300043049484755</v>
      </c>
      <c r="G775" s="1">
        <f t="shared" ref="G775:K775" si="888">G774</f>
        <v>2.7182407459178735</v>
      </c>
      <c r="H775" s="1">
        <f t="shared" si="888"/>
        <v>1.1675918814892839E-3</v>
      </c>
      <c r="I775" s="1">
        <f t="shared" si="888"/>
        <v>2.1361049538120043E-4</v>
      </c>
      <c r="J775" s="1">
        <f t="shared" si="888"/>
        <v>1.9188766210856832E-4</v>
      </c>
      <c r="K775" s="1">
        <f t="shared" si="888"/>
        <v>9.0475873225181471E-5</v>
      </c>
      <c r="L775" s="1">
        <f t="shared" ref="L775" si="889">L774</f>
        <v>0</v>
      </c>
      <c r="N775" s="1"/>
    </row>
    <row r="776" spans="2:14" x14ac:dyDescent="0.35">
      <c r="B776" s="5" t="str">
        <f t="shared" si="876"/>
        <v>SPS1</v>
      </c>
      <c r="C776" s="5" t="str">
        <f t="shared" si="873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2.4991290934578744E-5</v>
      </c>
      <c r="I776" s="1">
        <f>[1]Industry!E$36</f>
        <v>0.82020612674500781</v>
      </c>
      <c r="J776" s="1">
        <f>[2]Industry!F$36</f>
        <v>1.4905821622571456E-4</v>
      </c>
      <c r="K776" s="1">
        <f>[2]Industry!G$36</f>
        <v>1.6525735860081902E-4</v>
      </c>
      <c r="L776" s="1">
        <f>[2]Industry!H$36</f>
        <v>1.3105738705174774E-4</v>
      </c>
      <c r="N776" s="1"/>
    </row>
    <row r="777" spans="2:14" x14ac:dyDescent="0.35">
      <c r="B777" s="5" t="str">
        <f t="shared" si="876"/>
        <v>SPS1</v>
      </c>
      <c r="C777" s="5" t="str">
        <f t="shared" si="873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0">G776</f>
        <v>0</v>
      </c>
      <c r="H777" s="1">
        <f t="shared" si="890"/>
        <v>2.4991290934578744E-5</v>
      </c>
      <c r="I777" s="1">
        <f t="shared" si="890"/>
        <v>0.82020612674500781</v>
      </c>
      <c r="J777" s="1">
        <f t="shared" si="890"/>
        <v>1.4905821622571456E-4</v>
      </c>
      <c r="K777" s="1">
        <f t="shared" si="890"/>
        <v>1.6525735860081902E-4</v>
      </c>
      <c r="L777" s="1">
        <f t="shared" ref="L777" si="891">L776</f>
        <v>1.3105738705174774E-4</v>
      </c>
      <c r="N777" s="1"/>
    </row>
    <row r="778" spans="2:14" x14ac:dyDescent="0.35">
      <c r="B778" s="5" t="str">
        <f t="shared" ref="B778:B779" si="892">B777</f>
        <v>SPS1</v>
      </c>
      <c r="C778" s="5" t="str">
        <f t="shared" ref="C778:C779" si="893">C777</f>
        <v>CH</v>
      </c>
      <c r="D778" t="s">
        <v>472</v>
      </c>
      <c r="E778" t="s">
        <v>8</v>
      </c>
      <c r="F778" s="1">
        <f>SUM([1]Industry!B$37:B$39)</f>
        <v>35.98908907509454</v>
      </c>
      <c r="G778" s="1">
        <f>SUM([1]Industry!C$37:C$39)</f>
        <v>32.747516988666575</v>
      </c>
      <c r="H778" s="1">
        <f>SUM([1]Industry!D$37:D$39)</f>
        <v>35.359857881073523</v>
      </c>
      <c r="I778" s="1">
        <f>SUM([1]Industry!E$37:E$39)</f>
        <v>35.594217350914995</v>
      </c>
      <c r="J778" s="1">
        <f>SUM([2]Industry!F$37:F$39)</f>
        <v>36.294034966135072</v>
      </c>
      <c r="K778" s="1">
        <f>SUM([2]Industry!G$37:G$39)</f>
        <v>37.661872707488065</v>
      </c>
      <c r="L778" s="1">
        <f>SUM([2]Industry!H$37:H$39)</f>
        <v>35.468928112630635</v>
      </c>
      <c r="N778" s="1"/>
    </row>
    <row r="779" spans="2:14" x14ac:dyDescent="0.35">
      <c r="B779" s="5" t="str">
        <f t="shared" si="892"/>
        <v>SPS1</v>
      </c>
      <c r="C779" s="5" t="str">
        <f t="shared" si="893"/>
        <v>CH</v>
      </c>
      <c r="D779" t="s">
        <v>678</v>
      </c>
      <c r="E779" t="s">
        <v>8</v>
      </c>
      <c r="F779" s="1">
        <f>SUM([1]Industry!B$37:B$38)-F780</f>
        <v>35.545864277156248</v>
      </c>
      <c r="G779" s="1">
        <f>SUM([1]Industry!C$37:C$38)-G780</f>
        <v>32.124141543601667</v>
      </c>
      <c r="H779" s="1">
        <f>SUM([1]Industry!D$37:D$38)-H780</f>
        <v>33.591726181442013</v>
      </c>
      <c r="I779" s="1">
        <f>SUM([1]Industry!E$37:E$38)-I780</f>
        <v>31.005516492991894</v>
      </c>
      <c r="J779" s="1">
        <f>SUM([2]Industry!F$37:F$38)-J780</f>
        <v>27.850461506354048</v>
      </c>
      <c r="K779" s="1">
        <f>SUM([2]Industry!G$37:G$38)-K780</f>
        <v>29.218287913814343</v>
      </c>
      <c r="L779" s="1">
        <f>SUM([2]Industry!H$37:H$38)-L780</f>
        <v>27.025342932355784</v>
      </c>
      <c r="N779" s="1"/>
    </row>
    <row r="780" spans="2:14" x14ac:dyDescent="0.35">
      <c r="B780" s="5" t="str">
        <f t="shared" ref="B780" si="894">B779</f>
        <v>SPS1</v>
      </c>
      <c r="C780" s="5" t="str">
        <f t="shared" ref="C780" si="895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6.4969096413330521E-3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7.1308659952608197E-2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4.9943860094177041E-2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6">F778-F779</f>
        <v>0.44322479793829217</v>
      </c>
      <c r="G781" s="1">
        <f t="shared" si="896"/>
        <v>0.62337544506490872</v>
      </c>
      <c r="H781" s="1">
        <f t="shared" si="896"/>
        <v>1.7681316996315104</v>
      </c>
      <c r="I781" s="1">
        <f t="shared" si="896"/>
        <v>4.5887008579231008</v>
      </c>
      <c r="J781" s="1">
        <f t="shared" si="896"/>
        <v>8.4435734597810246</v>
      </c>
      <c r="K781" s="1">
        <f t="shared" si="896"/>
        <v>8.4435847936737218</v>
      </c>
      <c r="L781" s="1">
        <f t="shared" ref="L781" si="897">L778-L779</f>
        <v>8.4435851802748516</v>
      </c>
      <c r="N781" s="1"/>
    </row>
    <row r="782" spans="2:14" x14ac:dyDescent="0.35">
      <c r="B782" s="5" t="str">
        <f t="shared" ref="B782:B790" si="898">B781</f>
        <v>SPS1</v>
      </c>
      <c r="C782" s="5" t="str">
        <f t="shared" ref="C782:C790" si="899">C781</f>
        <v>CH</v>
      </c>
      <c r="D782" t="s">
        <v>944</v>
      </c>
      <c r="E782" t="s">
        <v>8</v>
      </c>
      <c r="F782" s="1">
        <f>[1]Industry!B$37</f>
        <v>35.241713890709484</v>
      </c>
      <c r="G782" s="1">
        <f>[1]Industry!C$37</f>
        <v>32.195431459920798</v>
      </c>
      <c r="H782" s="1">
        <f>[1]Industry!D$37</f>
        <v>30.88433310601064</v>
      </c>
      <c r="I782" s="1">
        <f>[1]Industry!E$37</f>
        <v>27.911397509570108</v>
      </c>
      <c r="J782" s="1">
        <f>[2]Industry!F$37</f>
        <v>24.92229062621054</v>
      </c>
      <c r="K782" s="1">
        <f>[2]Industry!G$37</f>
        <v>26.157520510882087</v>
      </c>
      <c r="L782" s="1">
        <f>[2]Industry!H$37</f>
        <v>23.961296583030496</v>
      </c>
      <c r="N782" s="1"/>
    </row>
    <row r="783" spans="2:14" x14ac:dyDescent="0.35">
      <c r="B783" s="5" t="str">
        <f t="shared" si="898"/>
        <v>SPS1</v>
      </c>
      <c r="C783" s="5" t="str">
        <f t="shared" si="899"/>
        <v>CH</v>
      </c>
      <c r="D783" t="s">
        <v>679</v>
      </c>
      <c r="E783" t="s">
        <v>8</v>
      </c>
      <c r="F783" s="1">
        <f>[1]Industry!B$37*F779/SUM(F779:F780)</f>
        <v>35.235273749376795</v>
      </c>
      <c r="G783" s="1">
        <f>[1]Industry!C$37*G779/SUM(G779:G780)</f>
        <v>32.124122841482858</v>
      </c>
      <c r="H783" s="1">
        <f>[1]Industry!D$37*H779/SUM(H779:H780)</f>
        <v>30.838482742165922</v>
      </c>
      <c r="I783" s="1">
        <f>[1]Industry!E$37*I779/SUM(I779:I780)</f>
        <v>27.911397509570108</v>
      </c>
      <c r="J783" s="1">
        <f>[2]Industry!F$37*J779/SUM(J779:J780)</f>
        <v>24.92229062621054</v>
      </c>
      <c r="K783" s="1">
        <f>[2]Industry!G$37*K779/SUM(K779:K780)</f>
        <v>26.157520510882087</v>
      </c>
      <c r="L783" s="1">
        <f>[2]Industry!H$37*L779/SUM(L779:L780)</f>
        <v>23.961296583030496</v>
      </c>
      <c r="N783" s="1"/>
    </row>
    <row r="784" spans="2:14" x14ac:dyDescent="0.35">
      <c r="B784" s="5" t="str">
        <f t="shared" ref="B784" si="900">B783</f>
        <v>SPS1</v>
      </c>
      <c r="C784" s="5" t="str">
        <f t="shared" ref="C784" si="901">C783</f>
        <v>CH</v>
      </c>
      <c r="D784" t="s">
        <v>723</v>
      </c>
      <c r="E784" t="s">
        <v>8</v>
      </c>
      <c r="F784" s="1">
        <f>F782-F783</f>
        <v>6.4401413326891088E-3</v>
      </c>
      <c r="G784" s="1">
        <f t="shared" ref="G784:K784" si="902">G782-G783</f>
        <v>7.1308618437939231E-2</v>
      </c>
      <c r="H784" s="1">
        <f t="shared" si="902"/>
        <v>4.5850363844717634E-2</v>
      </c>
      <c r="I784" s="1">
        <f t="shared" si="902"/>
        <v>0</v>
      </c>
      <c r="J784" s="1">
        <f t="shared" si="902"/>
        <v>0</v>
      </c>
      <c r="K784" s="1">
        <f t="shared" si="902"/>
        <v>0</v>
      </c>
      <c r="L784" s="1">
        <f t="shared" ref="L784" si="903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0.74737518438505446</v>
      </c>
      <c r="G785" s="1">
        <f t="shared" ref="G785:K785" si="904">SUM(G786:G788)</f>
        <v>0.55208552874577765</v>
      </c>
      <c r="H785" s="1">
        <f t="shared" si="904"/>
        <v>4.4755247750628824</v>
      </c>
      <c r="I785" s="1">
        <f t="shared" si="904"/>
        <v>7.68281984134489</v>
      </c>
      <c r="J785" s="1">
        <f t="shared" si="904"/>
        <v>11.371744339924529</v>
      </c>
      <c r="K785" s="1">
        <f t="shared" si="904"/>
        <v>11.504352196605979</v>
      </c>
      <c r="L785" s="1">
        <f t="shared" ref="L785" si="905">SUM(L786:L788)</f>
        <v>11.50763152960014</v>
      </c>
      <c r="N785" s="1"/>
    </row>
    <row r="786" spans="2:14" x14ac:dyDescent="0.35">
      <c r="B786" s="5" t="str">
        <f t="shared" si="898"/>
        <v>SPS1</v>
      </c>
      <c r="C786" s="5" t="str">
        <f t="shared" si="899"/>
        <v>CH</v>
      </c>
      <c r="D786" t="s">
        <v>680</v>
      </c>
      <c r="E786" t="s">
        <v>8</v>
      </c>
      <c r="F786" s="1">
        <f>[1]Industry!B$38*F779/SUM(F779:F780)</f>
        <v>0.31059052777945079</v>
      </c>
      <c r="G786" s="1">
        <f>[1]Industry!C$38*G779/SUM(G779:G780)</f>
        <v>1.8702118807928591E-5</v>
      </c>
      <c r="H786" s="1">
        <f>[1]Industry!D$38*H779/SUM(H779:H780)</f>
        <v>2.7532434392760936</v>
      </c>
      <c r="I786" s="1">
        <f>[1]Industry!E$38*I779/SUM(I779:I780)</f>
        <v>3.0941189834217866</v>
      </c>
      <c r="J786" s="1">
        <f>[2]Industry!F$38*J779/SUM(J779:J780)</f>
        <v>2.9281708801435067</v>
      </c>
      <c r="K786" s="1">
        <f>[2]Industry!G$38*K779/SUM(K779:K780)</f>
        <v>3.0607674029322585</v>
      </c>
      <c r="L786" s="1">
        <f>[2]Industry!H$38*L779/SUM(L779:L780)</f>
        <v>3.0640463493252872</v>
      </c>
      <c r="N786" s="1"/>
    </row>
    <row r="787" spans="2:14" x14ac:dyDescent="0.35">
      <c r="B787" s="5" t="str">
        <f t="shared" ref="B787" si="906">B786</f>
        <v>SPS1</v>
      </c>
      <c r="C787" s="5" t="str">
        <f t="shared" ref="C787" si="907">C786</f>
        <v>CH</v>
      </c>
      <c r="D787" t="s">
        <v>724</v>
      </c>
      <c r="E787" t="s">
        <v>8</v>
      </c>
      <c r="F787" s="1">
        <f>[1]Industry!B$38-F786</f>
        <v>5.6768308647814347E-5</v>
      </c>
      <c r="G787" s="1">
        <f>[1]Industry!C$38-G786</f>
        <v>4.1514666739271713E-8</v>
      </c>
      <c r="H787" s="1">
        <f>[1]Industry!D$38-H786</f>
        <v>4.0934962494536542E-3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0.43672788829695591</v>
      </c>
      <c r="G788" s="1">
        <f>[1]Industry!C$39</f>
        <v>0.552066785112303</v>
      </c>
      <c r="H788" s="1">
        <f>[1]Industry!D$39</f>
        <v>1.7181878395373353</v>
      </c>
      <c r="I788" s="1">
        <f>[1]Industry!E$39</f>
        <v>4.5887008579231034</v>
      </c>
      <c r="J788" s="1">
        <f>[2]Industry!F$39</f>
        <v>8.4435734597810228</v>
      </c>
      <c r="K788" s="1">
        <f>[2]Industry!G$39</f>
        <v>8.4435847936737201</v>
      </c>
      <c r="L788" s="1">
        <f>[2]Industry!H$39</f>
        <v>8.4435851802748534</v>
      </c>
      <c r="N788" s="1"/>
    </row>
    <row r="789" spans="2:14" x14ac:dyDescent="0.35">
      <c r="B789" s="5" t="str">
        <f t="shared" si="898"/>
        <v>SPS1</v>
      </c>
      <c r="C789" s="5" t="str">
        <f t="shared" si="899"/>
        <v>CH</v>
      </c>
      <c r="D789" t="s">
        <v>946</v>
      </c>
      <c r="E789" t="s">
        <v>8</v>
      </c>
      <c r="F789" s="1">
        <f>[1]Industry!B$18</f>
        <v>3.5600044603966894</v>
      </c>
      <c r="G789" s="1">
        <f>[1]Industry!C$18</f>
        <v>3.464717415452482</v>
      </c>
      <c r="H789" s="1">
        <f>[1]Industry!D$18</f>
        <v>3.3403267487415373</v>
      </c>
      <c r="I789" s="1">
        <f>[1]Industry!E$18</f>
        <v>2.3688697598404625E-4</v>
      </c>
      <c r="J789" s="1">
        <f>[2]Industry!F$18</f>
        <v>1.8364065412240321E-4</v>
      </c>
      <c r="K789" s="1">
        <f>[2]Industry!G$18</f>
        <v>7.596573910203059E-5</v>
      </c>
      <c r="L789" s="1">
        <f>[2]Industry!H$18</f>
        <v>2.8280544849642935E-4</v>
      </c>
      <c r="N789" s="1"/>
    </row>
    <row r="790" spans="2:14" x14ac:dyDescent="0.35">
      <c r="B790" s="5" t="str">
        <f t="shared" si="898"/>
        <v>SPS1</v>
      </c>
      <c r="C790" s="5" t="str">
        <f t="shared" si="899"/>
        <v>CH</v>
      </c>
      <c r="D790" t="s">
        <v>947</v>
      </c>
      <c r="E790" t="s">
        <v>8</v>
      </c>
      <c r="F790" s="1">
        <f>F789</f>
        <v>3.5600044603966894</v>
      </c>
      <c r="G790" s="1">
        <f t="shared" ref="G790:K790" si="908">G789</f>
        <v>3.464717415452482</v>
      </c>
      <c r="H790" s="1">
        <f t="shared" si="908"/>
        <v>3.3403267487415373</v>
      </c>
      <c r="I790" s="1">
        <f t="shared" si="908"/>
        <v>2.3688697598404625E-4</v>
      </c>
      <c r="J790" s="1">
        <f t="shared" si="908"/>
        <v>1.8364065412240321E-4</v>
      </c>
      <c r="K790" s="1">
        <f t="shared" si="908"/>
        <v>7.596573910203059E-5</v>
      </c>
      <c r="L790" s="1">
        <f t="shared" ref="L790" si="909">L789</f>
        <v>2.8280544849642935E-4</v>
      </c>
      <c r="N790" s="1"/>
    </row>
    <row r="791" spans="2:14" x14ac:dyDescent="0.35">
      <c r="B791" s="5" t="str">
        <f t="shared" ref="B791:B792" si="910">B790</f>
        <v>SPS1</v>
      </c>
      <c r="C791" s="5" t="str">
        <f t="shared" ref="C791:C792" si="911">C790</f>
        <v>CH</v>
      </c>
      <c r="D791" t="s">
        <v>948</v>
      </c>
      <c r="E791" t="s">
        <v>8</v>
      </c>
      <c r="F791" s="1">
        <f>[1]Industry!B$19</f>
        <v>12.728644643289989</v>
      </c>
      <c r="G791" s="1">
        <f>[1]Industry!C$19</f>
        <v>13.638427482139384</v>
      </c>
      <c r="H791" s="1">
        <f>[1]Industry!D$19</f>
        <v>13.954535867209007</v>
      </c>
      <c r="I791" s="1">
        <f>[1]Industry!E$19</f>
        <v>15.337062167562612</v>
      </c>
      <c r="J791" s="1">
        <f>[2]Industry!F$19</f>
        <v>14.831497247726293</v>
      </c>
      <c r="K791" s="1">
        <f>[2]Industry!G$19</f>
        <v>15.119300507956638</v>
      </c>
      <c r="L791" s="1">
        <f>[2]Industry!H$19</f>
        <v>19.174153185195376</v>
      </c>
      <c r="N791" s="1"/>
    </row>
    <row r="792" spans="2:14" x14ac:dyDescent="0.35">
      <c r="B792" s="5" t="str">
        <f t="shared" si="910"/>
        <v>SPS1</v>
      </c>
      <c r="C792" s="5" t="str">
        <f t="shared" si="911"/>
        <v>CH</v>
      </c>
      <c r="D792" t="s">
        <v>949</v>
      </c>
      <c r="E792" t="s">
        <v>8</v>
      </c>
      <c r="F792" s="1">
        <f>SUM(F793:F801)</f>
        <v>4.2922593221752052</v>
      </c>
      <c r="G792" s="1">
        <f t="shared" ref="G792:K792" si="912">SUM(G793:G801)</f>
        <v>5.7148535085212018</v>
      </c>
      <c r="H792" s="1">
        <f t="shared" si="912"/>
        <v>4.8978029928206714</v>
      </c>
      <c r="I792" s="1">
        <f t="shared" si="912"/>
        <v>6.2469836627597397</v>
      </c>
      <c r="J792" s="1">
        <f t="shared" si="912"/>
        <v>7.2047496459957241</v>
      </c>
      <c r="K792" s="1">
        <f t="shared" si="912"/>
        <v>7.509110656109554</v>
      </c>
      <c r="L792" s="1">
        <f t="shared" ref="L792" si="913">SUM(L793:L801)</f>
        <v>9.6411044272247306</v>
      </c>
      <c r="M792" s="1"/>
      <c r="N792" s="1"/>
    </row>
    <row r="793" spans="2:14" x14ac:dyDescent="0.35">
      <c r="B793" s="5" t="str">
        <f t="shared" ref="B793:B802" si="914">B792</f>
        <v>SPS1</v>
      </c>
      <c r="C793" s="5" t="str">
        <f t="shared" ref="C793:C810" si="915">C792</f>
        <v>CH</v>
      </c>
      <c r="D793" t="s">
        <v>481</v>
      </c>
      <c r="E793" t="s">
        <v>8</v>
      </c>
      <c r="F793" s="1">
        <f>F235</f>
        <v>0.9293540184727046</v>
      </c>
      <c r="G793" s="1">
        <f t="shared" ref="G793:K793" si="916">G235</f>
        <v>2.0719699777675049</v>
      </c>
      <c r="H793" s="1">
        <f t="shared" si="916"/>
        <v>0.10186488424774717</v>
      </c>
      <c r="I793" s="1">
        <f t="shared" si="916"/>
        <v>1.3179018489092584</v>
      </c>
      <c r="J793" s="1">
        <f t="shared" si="916"/>
        <v>0.84856439020074048</v>
      </c>
      <c r="K793" s="1">
        <f t="shared" si="916"/>
        <v>3.6401767078845015E-2</v>
      </c>
      <c r="L793" s="1">
        <f t="shared" ref="L793" si="917">L235</f>
        <v>4.3142494597007697E-2</v>
      </c>
      <c r="N793" s="1"/>
    </row>
    <row r="794" spans="2:14" x14ac:dyDescent="0.35">
      <c r="B794" s="5" t="str">
        <f t="shared" si="914"/>
        <v>SPS1</v>
      </c>
      <c r="C794" s="5" t="str">
        <f t="shared" si="915"/>
        <v>CH</v>
      </c>
      <c r="D794" t="s">
        <v>482</v>
      </c>
      <c r="E794" t="s">
        <v>8</v>
      </c>
      <c r="F794" s="1">
        <f>F241</f>
        <v>0.76850399701165117</v>
      </c>
      <c r="G794" s="1">
        <f t="shared" ref="G794:K794" si="918">G241</f>
        <v>0.18748163947496038</v>
      </c>
      <c r="H794" s="1">
        <f t="shared" si="918"/>
        <v>1.0630817163902475</v>
      </c>
      <c r="I794" s="1">
        <f t="shared" si="918"/>
        <v>1.534004885741481</v>
      </c>
      <c r="J794" s="1">
        <f t="shared" si="918"/>
        <v>0.89615579738237194</v>
      </c>
      <c r="K794" s="1">
        <f t="shared" si="918"/>
        <v>0.10917953991676103</v>
      </c>
      <c r="L794" s="1">
        <f t="shared" ref="L794" si="919">L241</f>
        <v>2.7457498011725794E-2</v>
      </c>
      <c r="N794" s="1"/>
    </row>
    <row r="795" spans="2:14" x14ac:dyDescent="0.35">
      <c r="B795" s="5" t="str">
        <f t="shared" si="914"/>
        <v>SPS1</v>
      </c>
      <c r="C795" s="5" t="str">
        <f t="shared" si="915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0">G242</f>
        <v>0</v>
      </c>
      <c r="H795" s="1">
        <f t="shared" si="920"/>
        <v>0</v>
      </c>
      <c r="I795" s="1">
        <f t="shared" si="920"/>
        <v>0</v>
      </c>
      <c r="J795" s="1">
        <f t="shared" si="920"/>
        <v>0</v>
      </c>
      <c r="K795" s="1">
        <f t="shared" si="920"/>
        <v>0</v>
      </c>
      <c r="L795" s="1">
        <f t="shared" ref="L795" si="921">L242</f>
        <v>0</v>
      </c>
      <c r="N795" s="1"/>
    </row>
    <row r="796" spans="2:14" x14ac:dyDescent="0.35">
      <c r="B796" s="5" t="str">
        <f t="shared" si="914"/>
        <v>SPS1</v>
      </c>
      <c r="C796" s="5" t="str">
        <f t="shared" si="915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2">G243</f>
        <v>0</v>
      </c>
      <c r="H796" s="1">
        <f t="shared" si="922"/>
        <v>0</v>
      </c>
      <c r="I796" s="1">
        <f t="shared" si="922"/>
        <v>1.5599110263434578E-4</v>
      </c>
      <c r="J796" s="1">
        <f t="shared" si="922"/>
        <v>1.0338275741010303E-4</v>
      </c>
      <c r="K796" s="1">
        <f t="shared" si="922"/>
        <v>8.3564710123637547E-5</v>
      </c>
      <c r="L796" s="1">
        <f t="shared" ref="L796" si="923">L243</f>
        <v>1.4636438436913153E-4</v>
      </c>
      <c r="N796" s="1"/>
    </row>
    <row r="797" spans="2:14" x14ac:dyDescent="0.35">
      <c r="B797" s="5" t="str">
        <f t="shared" si="914"/>
        <v>SPS1</v>
      </c>
      <c r="C797" s="5" t="str">
        <f t="shared" si="915"/>
        <v>CH</v>
      </c>
      <c r="D797" t="s">
        <v>485</v>
      </c>
      <c r="E797" t="s">
        <v>8</v>
      </c>
      <c r="F797" s="1">
        <f>F274</f>
        <v>1.9348222656546448</v>
      </c>
      <c r="G797" s="1">
        <f t="shared" ref="G797:K797" si="924">G274</f>
        <v>1.8587705616024293</v>
      </c>
      <c r="H797" s="1">
        <f t="shared" si="924"/>
        <v>2.2411526409390576E-3</v>
      </c>
      <c r="I797" s="1">
        <f t="shared" si="924"/>
        <v>1.7782842889798008E-3</v>
      </c>
      <c r="J797" s="1">
        <f t="shared" si="924"/>
        <v>1.5608386056116862E-3</v>
      </c>
      <c r="K797" s="1">
        <f t="shared" si="924"/>
        <v>5.2913224227643836E-4</v>
      </c>
      <c r="L797" s="1">
        <f t="shared" ref="L797" si="925">L274</f>
        <v>3.3453736298219697E-4</v>
      </c>
      <c r="N797" s="1"/>
    </row>
    <row r="798" spans="2:14" x14ac:dyDescent="0.35">
      <c r="B798" s="5" t="str">
        <f t="shared" si="914"/>
        <v>SPS1</v>
      </c>
      <c r="C798" s="5" t="str">
        <f t="shared" si="915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6">G275</f>
        <v>0</v>
      </c>
      <c r="H798" s="1">
        <f t="shared" si="926"/>
        <v>0</v>
      </c>
      <c r="I798" s="1">
        <f t="shared" si="926"/>
        <v>0</v>
      </c>
      <c r="J798" s="1">
        <f t="shared" si="926"/>
        <v>0</v>
      </c>
      <c r="K798" s="1">
        <f t="shared" si="926"/>
        <v>0</v>
      </c>
      <c r="L798" s="1">
        <f t="shared" ref="L798" si="927">L275</f>
        <v>0</v>
      </c>
      <c r="N798" s="1"/>
    </row>
    <row r="799" spans="2:14" x14ac:dyDescent="0.35">
      <c r="B799" s="5" t="str">
        <f t="shared" si="914"/>
        <v>SPS1</v>
      </c>
      <c r="C799" s="5" t="str">
        <f t="shared" si="915"/>
        <v>CH</v>
      </c>
      <c r="D799" t="s">
        <v>487</v>
      </c>
      <c r="E799" t="s">
        <v>8</v>
      </c>
      <c r="F799" s="1">
        <f>F283</f>
        <v>0.65957904103620457</v>
      </c>
      <c r="G799" s="1">
        <f t="shared" ref="G799:K799" si="928">G283</f>
        <v>1.5966313296763068</v>
      </c>
      <c r="H799" s="1">
        <f t="shared" si="928"/>
        <v>3.7306152395417373</v>
      </c>
      <c r="I799" s="1">
        <f t="shared" si="928"/>
        <v>3.393142652717386</v>
      </c>
      <c r="J799" s="1">
        <f t="shared" si="928"/>
        <v>5.4583652370495894</v>
      </c>
      <c r="K799" s="1">
        <f t="shared" si="928"/>
        <v>7.3629166521615481</v>
      </c>
      <c r="L799" s="1">
        <f t="shared" ref="L799" si="929">L283</f>
        <v>9.570023532868646</v>
      </c>
      <c r="N799" s="1"/>
    </row>
    <row r="800" spans="2:14" x14ac:dyDescent="0.35">
      <c r="B800" s="5" t="str">
        <f t="shared" si="914"/>
        <v>SPS1</v>
      </c>
      <c r="C800" s="5" t="str">
        <f t="shared" si="915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0">G284</f>
        <v>0</v>
      </c>
      <c r="H800" s="1">
        <f t="shared" si="930"/>
        <v>0</v>
      </c>
      <c r="I800" s="1">
        <f t="shared" si="930"/>
        <v>0</v>
      </c>
      <c r="J800" s="1">
        <f t="shared" si="930"/>
        <v>0</v>
      </c>
      <c r="K800" s="1">
        <f t="shared" si="930"/>
        <v>0</v>
      </c>
      <c r="L800" s="1">
        <f t="shared" ref="L800" si="931">L284</f>
        <v>0</v>
      </c>
      <c r="N800" s="1"/>
    </row>
    <row r="801" spans="2:14" x14ac:dyDescent="0.35">
      <c r="B801" s="5" t="str">
        <f t="shared" si="914"/>
        <v>SPS1</v>
      </c>
      <c r="C801" s="5" t="str">
        <f t="shared" si="915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2">G289</f>
        <v>0</v>
      </c>
      <c r="H801" s="1">
        <f t="shared" si="932"/>
        <v>0</v>
      </c>
      <c r="I801" s="1">
        <f t="shared" si="932"/>
        <v>0</v>
      </c>
      <c r="J801" s="1">
        <f t="shared" si="932"/>
        <v>0</v>
      </c>
      <c r="K801" s="1">
        <f t="shared" si="932"/>
        <v>0</v>
      </c>
      <c r="L801" s="1">
        <f t="shared" ref="L801" si="933">L289</f>
        <v>0</v>
      </c>
      <c r="M801" s="1"/>
      <c r="N801" s="1"/>
    </row>
    <row r="802" spans="2:14" x14ac:dyDescent="0.35">
      <c r="B802" s="5" t="str">
        <f t="shared" si="914"/>
        <v>SPS1</v>
      </c>
      <c r="C802" s="5" t="str">
        <f t="shared" si="915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7.1200029729715606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7.6289070574065185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7.6289065666842193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7.6289148403193145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7.6289168097557241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7.6289181852543591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9.5600050299261028</v>
      </c>
      <c r="N802" s="1"/>
    </row>
    <row r="803" spans="2:14" x14ac:dyDescent="0.35">
      <c r="B803" s="5" t="str">
        <f>B802</f>
        <v>SPS1</v>
      </c>
      <c r="C803" s="5" t="str">
        <f t="shared" si="915"/>
        <v>CH</v>
      </c>
      <c r="D803" t="s">
        <v>951</v>
      </c>
      <c r="E803" t="s">
        <v>8</v>
      </c>
      <c r="F803" s="1">
        <f>F804</f>
        <v>9.0019052224842984</v>
      </c>
      <c r="G803" s="1">
        <f t="shared" ref="G803:L803" si="934">G804</f>
        <v>10.609942922671451</v>
      </c>
      <c r="H803" s="1">
        <f t="shared" si="934"/>
        <v>10.197681734031493</v>
      </c>
      <c r="I803" s="1">
        <f t="shared" si="934"/>
        <v>10.322138308630933</v>
      </c>
      <c r="J803" s="1">
        <f t="shared" si="934"/>
        <v>10.343071116012798</v>
      </c>
      <c r="K803" s="1">
        <f t="shared" si="934"/>
        <v>10.350409548655922</v>
      </c>
      <c r="L803" s="1">
        <f t="shared" si="934"/>
        <v>10.35832838197836</v>
      </c>
      <c r="N803" s="1"/>
    </row>
    <row r="804" spans="2:14" x14ac:dyDescent="0.35">
      <c r="B804" s="5" t="str">
        <f t="shared" ref="B804:B806" si="935">B803</f>
        <v>SPS1</v>
      </c>
      <c r="C804" s="5" t="str">
        <f t="shared" si="915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9.0019052224842984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10.609942922671451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10.197681734031493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10.322138308630933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10.343071116012798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10.350409548655922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10.35832838197836</v>
      </c>
      <c r="N804" s="1"/>
    </row>
    <row r="805" spans="2:14" x14ac:dyDescent="0.35">
      <c r="B805" s="5" t="str">
        <f t="shared" si="935"/>
        <v>SPS1</v>
      </c>
      <c r="C805" s="5" t="str">
        <f t="shared" si="915"/>
        <v>CH</v>
      </c>
      <c r="D805" t="s">
        <v>953</v>
      </c>
      <c r="E805" t="s">
        <v>8</v>
      </c>
      <c r="F805" s="1">
        <f>F806</f>
        <v>0.62578933952296967</v>
      </c>
      <c r="G805" s="1">
        <f t="shared" ref="G805:L805" si="936">G806</f>
        <v>0.73757443264065503</v>
      </c>
      <c r="H805" s="1">
        <f t="shared" si="936"/>
        <v>0.73639804823255517</v>
      </c>
      <c r="I805" s="1">
        <f t="shared" si="936"/>
        <v>0.73433146241348601</v>
      </c>
      <c r="J805" s="1">
        <f t="shared" si="936"/>
        <v>0.73221172226100473</v>
      </c>
      <c r="K805" s="1">
        <f t="shared" si="936"/>
        <v>0.73016688086640202</v>
      </c>
      <c r="L805" s="1">
        <f t="shared" si="936"/>
        <v>0.72611101028490466</v>
      </c>
      <c r="N805" s="1"/>
    </row>
    <row r="806" spans="2:14" x14ac:dyDescent="0.35">
      <c r="B806" s="5" t="str">
        <f t="shared" si="935"/>
        <v>SPS1</v>
      </c>
      <c r="C806" s="5" t="str">
        <f t="shared" si="915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0.62578933952296967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0.73757443264065503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0.73639804823255517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0.73433146241348601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0.73221172226100473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0.73016688086640202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0.72611101028490466</v>
      </c>
      <c r="N806" s="1"/>
    </row>
    <row r="807" spans="2:14" x14ac:dyDescent="0.35">
      <c r="B807" s="5" t="str">
        <f>B806</f>
        <v>SPS1</v>
      </c>
      <c r="C807" s="5" t="str">
        <f t="shared" si="915"/>
        <v>CH</v>
      </c>
      <c r="D807" t="s">
        <v>492</v>
      </c>
      <c r="E807" t="s">
        <v>8</v>
      </c>
      <c r="F807" s="1">
        <f>[1]Industry!B$21</f>
        <v>7.7980455576488188</v>
      </c>
      <c r="G807" s="1">
        <f>[1]Industry!C$21</f>
        <v>8.0801506269820464</v>
      </c>
      <c r="H807" s="1">
        <f>[1]Industry!D$21</f>
        <v>11.036651992679024</v>
      </c>
      <c r="I807" s="1">
        <f>[1]Industry!E$21</f>
        <v>10.913845350247737</v>
      </c>
      <c r="J807" s="1">
        <f>[2]Industry!F$21</f>
        <v>10.790522003714115</v>
      </c>
      <c r="K807" s="1">
        <f>[2]Industry!G$21</f>
        <v>10.738615180474074</v>
      </c>
      <c r="L807" s="1">
        <f>[2]Industry!H$21</f>
        <v>10.629740136950851</v>
      </c>
      <c r="N807" s="1"/>
    </row>
    <row r="808" spans="2:14" x14ac:dyDescent="0.35">
      <c r="B808" s="5" t="str">
        <f t="shared" ref="B808:B810" si="937">B807</f>
        <v>SPS1</v>
      </c>
      <c r="C808" s="5" t="str">
        <f t="shared" si="915"/>
        <v>CH</v>
      </c>
      <c r="D808" t="s">
        <v>495</v>
      </c>
      <c r="E808" t="s">
        <v>8</v>
      </c>
      <c r="F808" s="1">
        <f>F807</f>
        <v>7.7980455576488188</v>
      </c>
      <c r="G808" s="1">
        <f t="shared" ref="G808:K808" si="938">G807</f>
        <v>8.0801506269820464</v>
      </c>
      <c r="H808" s="1">
        <f t="shared" si="938"/>
        <v>11.036651992679024</v>
      </c>
      <c r="I808" s="1">
        <f t="shared" si="938"/>
        <v>10.913845350247737</v>
      </c>
      <c r="J808" s="1">
        <f t="shared" si="938"/>
        <v>10.790522003714115</v>
      </c>
      <c r="K808" s="1">
        <f t="shared" si="938"/>
        <v>10.738615180474074</v>
      </c>
      <c r="L808" s="1">
        <f t="shared" ref="L808" si="939">L807</f>
        <v>10.629740136950851</v>
      </c>
      <c r="N808" s="1"/>
    </row>
    <row r="809" spans="2:14" x14ac:dyDescent="0.35">
      <c r="B809" s="5" t="str">
        <f t="shared" si="937"/>
        <v>SPS1</v>
      </c>
      <c r="C809" s="5" t="str">
        <f t="shared" si="915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7"/>
        <v>SPS1</v>
      </c>
      <c r="C810" s="5" t="str">
        <f t="shared" si="915"/>
        <v>CH</v>
      </c>
      <c r="D810" t="s">
        <v>494</v>
      </c>
      <c r="E810" t="s">
        <v>8</v>
      </c>
      <c r="F810" s="1">
        <f>F808</f>
        <v>7.7980455576488188</v>
      </c>
      <c r="G810" s="1">
        <f t="shared" ref="G810:K810" si="940">G808</f>
        <v>8.0801506269820464</v>
      </c>
      <c r="H810" s="1">
        <f t="shared" si="940"/>
        <v>11.036651992679024</v>
      </c>
      <c r="I810" s="1">
        <f t="shared" si="940"/>
        <v>10.913845350247737</v>
      </c>
      <c r="J810" s="1">
        <f t="shared" si="940"/>
        <v>10.790522003714115</v>
      </c>
      <c r="K810" s="1">
        <f t="shared" si="940"/>
        <v>10.738615180474074</v>
      </c>
      <c r="L810" s="1">
        <f t="shared" ref="L810" si="941">L808</f>
        <v>10.629740136950851</v>
      </c>
      <c r="N810" s="1"/>
    </row>
    <row r="811" spans="2:14" x14ac:dyDescent="0.35">
      <c r="B811" s="5" t="str">
        <f>B810</f>
        <v>SPS1</v>
      </c>
      <c r="C811" s="5" t="str">
        <f t="shared" ref="C811:C812" si="942">C810</f>
        <v>CH</v>
      </c>
      <c r="D811" t="s">
        <v>955</v>
      </c>
      <c r="E811" t="s">
        <v>8</v>
      </c>
      <c r="F811" s="1">
        <f>[1]Industry!B$22</f>
        <v>6.7641181729311065E-2</v>
      </c>
      <c r="G811" s="1">
        <f>[1]Industry!C$22</f>
        <v>8.5491523208523268E-2</v>
      </c>
      <c r="H811" s="1">
        <f>[1]Industry!D$22</f>
        <v>8.419430149156891E-2</v>
      </c>
      <c r="I811" s="1">
        <f>[1]Industry!E$22</f>
        <v>8.5486550814930021E-2</v>
      </c>
      <c r="J811" s="1">
        <f>[2]Industry!F$22</f>
        <v>8.5446042804761729E-2</v>
      </c>
      <c r="K811" s="1">
        <f>[2]Industry!G$22</f>
        <v>8.5341947649360955E-2</v>
      </c>
      <c r="L811" s="1">
        <f>[2]Industry!H$22</f>
        <v>4.4469026996080768E-2</v>
      </c>
      <c r="N811" s="1"/>
    </row>
    <row r="812" spans="2:14" x14ac:dyDescent="0.35">
      <c r="B812" s="5" t="str">
        <f t="shared" ref="B812" si="943">B811</f>
        <v>SPS1</v>
      </c>
      <c r="C812" s="5" t="str">
        <f t="shared" si="942"/>
        <v>CH</v>
      </c>
      <c r="D812" t="s">
        <v>956</v>
      </c>
      <c r="E812" t="s">
        <v>8</v>
      </c>
      <c r="F812" s="1">
        <f>F811</f>
        <v>6.7641181729311065E-2</v>
      </c>
      <c r="G812" s="1">
        <f t="shared" ref="G812:K812" si="944">G811</f>
        <v>8.5491523208523268E-2</v>
      </c>
      <c r="H812" s="1">
        <f t="shared" si="944"/>
        <v>8.419430149156891E-2</v>
      </c>
      <c r="I812" s="1">
        <f t="shared" si="944"/>
        <v>8.5486550814930021E-2</v>
      </c>
      <c r="J812" s="1">
        <f t="shared" si="944"/>
        <v>8.5446042804761729E-2</v>
      </c>
      <c r="K812" s="1">
        <f t="shared" si="944"/>
        <v>8.5341947649360955E-2</v>
      </c>
      <c r="L812" s="1">
        <f t="shared" ref="L812" si="945">L811</f>
        <v>4.4469026996080768E-2</v>
      </c>
      <c r="N812" s="1"/>
    </row>
    <row r="813" spans="2:14" x14ac:dyDescent="0.35">
      <c r="B813" s="5" t="str">
        <f>B812</f>
        <v>SPS1</v>
      </c>
      <c r="C813" s="5" t="str">
        <f t="shared" ref="C813:C814" si="946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8.1286584560384002E-3</v>
      </c>
      <c r="K813" s="1">
        <f>[2]Industry!G$23</f>
        <v>8.5880137014148032E-3</v>
      </c>
      <c r="L813" s="1">
        <f>[2]Industry!H$23</f>
        <v>0.33644248756591166</v>
      </c>
      <c r="N813" s="1"/>
    </row>
    <row r="814" spans="2:14" x14ac:dyDescent="0.35">
      <c r="B814" s="5" t="str">
        <f t="shared" ref="B814" si="947">B813</f>
        <v>SPS1</v>
      </c>
      <c r="C814" s="5" t="str">
        <f t="shared" si="946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8">G813</f>
        <v>0</v>
      </c>
      <c r="H814" s="1">
        <f t="shared" si="948"/>
        <v>0</v>
      </c>
      <c r="I814" s="1">
        <f t="shared" si="948"/>
        <v>0</v>
      </c>
      <c r="J814" s="1">
        <f t="shared" si="948"/>
        <v>8.1286584560384002E-3</v>
      </c>
      <c r="K814" s="1">
        <f t="shared" si="948"/>
        <v>8.5880137014148032E-3</v>
      </c>
      <c r="L814" s="1">
        <f t="shared" ref="L814" si="949">L813</f>
        <v>0.33644248756591166</v>
      </c>
      <c r="N814" s="1"/>
    </row>
    <row r="815" spans="2:14" x14ac:dyDescent="0.35">
      <c r="B815" s="5" t="str">
        <f>B814</f>
        <v>SPS1</v>
      </c>
      <c r="C815" s="5" t="str">
        <f t="shared" ref="C815:C816" si="950">C814</f>
        <v>CH</v>
      </c>
      <c r="D815" t="s">
        <v>959</v>
      </c>
      <c r="E815" t="s">
        <v>8</v>
      </c>
      <c r="F815" s="1">
        <f>[1]Industry!B$24</f>
        <v>0.74847265314895872</v>
      </c>
      <c r="G815" s="1">
        <f>[1]Industry!C$24</f>
        <v>0.94973041973511985</v>
      </c>
      <c r="H815" s="1">
        <f>[1]Industry!D$24</f>
        <v>0.96763560947960825</v>
      </c>
      <c r="I815" s="1">
        <f>[1]Industry!E$24</f>
        <v>2.7543819951566579</v>
      </c>
      <c r="J815" s="1">
        <f>[2]Industry!F$24</f>
        <v>3.5246343485840685</v>
      </c>
      <c r="K815" s="1">
        <f>[2]Industry!G$24</f>
        <v>3.5567151546207323</v>
      </c>
      <c r="L815" s="1">
        <f>[2]Industry!H$24</f>
        <v>3.6111818085698455</v>
      </c>
      <c r="N815" s="1"/>
    </row>
    <row r="816" spans="2:14" x14ac:dyDescent="0.35">
      <c r="B816" s="5" t="str">
        <f t="shared" ref="B816" si="951">B815</f>
        <v>SPS1</v>
      </c>
      <c r="C816" s="5" t="str">
        <f t="shared" si="950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0.74847265314895872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0.94973041973511985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0.95522508355567326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2.7413162893294056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3.5144549989333962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3.5544168639009426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3.6088015401150888</v>
      </c>
      <c r="N816" s="1"/>
    </row>
    <row r="817" spans="2:14" x14ac:dyDescent="0.35">
      <c r="B817" s="5" t="str">
        <f t="shared" ref="B817:B818" si="952">B816</f>
        <v>SPS1</v>
      </c>
      <c r="C817" s="5" t="str">
        <f t="shared" ref="C817:C825" si="953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4">G815-G816</f>
        <v>0</v>
      </c>
      <c r="H817" s="1">
        <f t="shared" si="954"/>
        <v>1.241052592393499E-2</v>
      </c>
      <c r="I817" s="1">
        <f t="shared" si="954"/>
        <v>1.3065705827252305E-2</v>
      </c>
      <c r="J817" s="1">
        <f t="shared" si="954"/>
        <v>1.0179349650672354E-2</v>
      </c>
      <c r="K817" s="1">
        <f t="shared" si="954"/>
        <v>2.2982907197897084E-3</v>
      </c>
      <c r="L817" s="1">
        <f t="shared" ref="L817" si="955">L815-L816</f>
        <v>2.3802684547566955E-3</v>
      </c>
      <c r="N817" s="1"/>
    </row>
    <row r="818" spans="2:14" x14ac:dyDescent="0.35">
      <c r="B818" s="9" t="str">
        <f t="shared" si="952"/>
        <v>SPS1</v>
      </c>
      <c r="C818" s="9" t="str">
        <f t="shared" si="953"/>
        <v>CH</v>
      </c>
      <c r="D818" s="2" t="s">
        <v>684</v>
      </c>
      <c r="E818" s="9" t="s">
        <v>8</v>
      </c>
      <c r="F818" s="17">
        <f>[1]Industry!B$71</f>
        <v>72.708243583982281</v>
      </c>
      <c r="G818" s="17">
        <f>[1]Industry!C$71</f>
        <v>73.852753050181306</v>
      </c>
      <c r="H818" s="17">
        <f>[1]Industry!D$71</f>
        <v>76.011268278823763</v>
      </c>
      <c r="I818" s="17">
        <f>[1]Industry!E$71</f>
        <v>76.907612357752697</v>
      </c>
      <c r="J818" s="17">
        <f>[2]Industry!F$71</f>
        <v>77.231368496985951</v>
      </c>
      <c r="K818" s="17">
        <f>[2]Industry!G$71</f>
        <v>77.475663419979071</v>
      </c>
      <c r="L818" s="17">
        <f>[2]Industry!H$71</f>
        <v>77.968251873710457</v>
      </c>
      <c r="N818" s="1"/>
    </row>
    <row r="819" spans="2:14" x14ac:dyDescent="0.35">
      <c r="B819" s="5" t="str">
        <f>B818</f>
        <v>SPS1</v>
      </c>
      <c r="C819" s="5" t="str">
        <f t="shared" si="953"/>
        <v>CH</v>
      </c>
      <c r="D819" t="s">
        <v>2031</v>
      </c>
      <c r="E819" t="s">
        <v>8</v>
      </c>
      <c r="F819" s="18">
        <f>SUM(F820:F822)</f>
        <v>58.985438274077225</v>
      </c>
      <c r="G819" s="18">
        <f t="shared" ref="G819:K819" si="956">SUM(G820:G822)</f>
        <v>60.611458787748063</v>
      </c>
      <c r="H819" s="18">
        <f t="shared" si="956"/>
        <v>63.626269080381903</v>
      </c>
      <c r="I819" s="18">
        <f t="shared" si="956"/>
        <v>67.979089120308714</v>
      </c>
      <c r="J819" s="18">
        <f t="shared" si="956"/>
        <v>70.606941548230267</v>
      </c>
      <c r="K819" s="18">
        <f t="shared" si="956"/>
        <v>71.114878210305307</v>
      </c>
      <c r="L819" s="18">
        <f t="shared" ref="L819" si="957">SUM(L820:L822)</f>
        <v>72.931407406828114</v>
      </c>
      <c r="N819" s="1"/>
    </row>
    <row r="820" spans="2:14" x14ac:dyDescent="0.35">
      <c r="B820" s="5" t="str">
        <f t="shared" ref="B820:B825" si="958">B819</f>
        <v>SPS1</v>
      </c>
      <c r="C820" s="5" t="str">
        <f t="shared" si="953"/>
        <v>CH</v>
      </c>
      <c r="D820" t="s">
        <v>2032</v>
      </c>
      <c r="E820" t="s">
        <v>8</v>
      </c>
      <c r="F820" s="1">
        <f>[1]Industry!B$55</f>
        <v>9.8138948399438988</v>
      </c>
      <c r="G820" s="1">
        <f>[1]Industry!C$55</f>
        <v>10.33508315108238</v>
      </c>
      <c r="H820" s="1">
        <f>[1]Industry!D$55</f>
        <v>10.576617256713416</v>
      </c>
      <c r="I820" s="1">
        <f>[1]Industry!E$55</f>
        <v>10.937121345826959</v>
      </c>
      <c r="J820" s="1">
        <f>[2]Industry!F$55</f>
        <v>11.620481498547532</v>
      </c>
      <c r="K820" s="1">
        <f>[2]Industry!G$55</f>
        <v>11.620483657939559</v>
      </c>
      <c r="L820" s="1">
        <f>[2]Industry!H$55</f>
        <v>11.95495787018957</v>
      </c>
      <c r="M820" s="1"/>
      <c r="N820" s="1"/>
    </row>
    <row r="821" spans="2:14" x14ac:dyDescent="0.35">
      <c r="B821" s="5" t="str">
        <f t="shared" si="958"/>
        <v>SPS1</v>
      </c>
      <c r="C821" s="5" t="str">
        <f t="shared" si="953"/>
        <v>CH</v>
      </c>
      <c r="D821" t="s">
        <v>2033</v>
      </c>
      <c r="E821" t="s">
        <v>8</v>
      </c>
      <c r="F821" s="1">
        <f>[1]Industry!B$56</f>
        <v>1.1081457819623317</v>
      </c>
      <c r="G821" s="1">
        <f>[1]Industry!C$56</f>
        <v>1.4007935947799854</v>
      </c>
      <c r="H821" s="1">
        <f>[1]Industry!D$56</f>
        <v>1.4010974392223721</v>
      </c>
      <c r="I821" s="1">
        <f>[1]Industry!E$56</f>
        <v>3.9852394058452272</v>
      </c>
      <c r="J821" s="1">
        <f>[2]Industry!F$56</f>
        <v>5.0659812312609258</v>
      </c>
      <c r="K821" s="1">
        <f>[2]Industry!G$56</f>
        <v>5.0821777442572378</v>
      </c>
      <c r="L821" s="1">
        <f>[2]Industry!H$56</f>
        <v>5.082178905178159</v>
      </c>
      <c r="N821" s="1"/>
    </row>
    <row r="822" spans="2:14" x14ac:dyDescent="0.35">
      <c r="B822" s="5" t="str">
        <f t="shared" si="958"/>
        <v>SPS1</v>
      </c>
      <c r="C822" s="5" t="str">
        <f t="shared" si="953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48.8755820418857</v>
      </c>
      <c r="H822" s="1">
        <f>[1]Industry!D$3-([1]Industry!D$6-[1]Industry!D$70)</f>
        <v>51.648554384446115</v>
      </c>
      <c r="I822" s="1">
        <f>[1]Industry!E$3-([1]Industry!E$6-[1]Industry!E$70)</f>
        <v>53.05672836863652</v>
      </c>
      <c r="J822" s="1">
        <f>[2]Industry!F$3-([2]Industry!F$6-[2]Industry!F$70)</f>
        <v>53.920478818421806</v>
      </c>
      <c r="K822" s="1">
        <f>[2]Industry!G$3-([2]Industry!G$6-[2]Industry!G$70)</f>
        <v>54.412216808108511</v>
      </c>
      <c r="L822" s="1">
        <f>[2]Industry!H$3-([2]Industry!H$6-[2]Industry!H$70)</f>
        <v>55.894270631460387</v>
      </c>
      <c r="N822" s="1"/>
    </row>
    <row r="823" spans="2:14" x14ac:dyDescent="0.35">
      <c r="B823" s="5" t="str">
        <f t="shared" si="958"/>
        <v>SPS1</v>
      </c>
      <c r="C823" s="5" t="str">
        <f t="shared" si="953"/>
        <v>CH</v>
      </c>
      <c r="D823" t="s">
        <v>2035</v>
      </c>
      <c r="E823" t="s">
        <v>8</v>
      </c>
      <c r="F823" s="1">
        <f>SUM(F824:F825)</f>
        <v>8.7635345035366861</v>
      </c>
      <c r="G823" s="1">
        <f t="shared" ref="G823:K823" si="959">SUM(G824:G825)</f>
        <v>8.1573298179969278</v>
      </c>
      <c r="H823" s="1">
        <f t="shared" si="959"/>
        <v>6.4460386948601789</v>
      </c>
      <c r="I823" s="1">
        <f t="shared" si="959"/>
        <v>5.2690891771909216</v>
      </c>
      <c r="J823" s="1">
        <f t="shared" si="959"/>
        <v>4.0215625112043636</v>
      </c>
      <c r="K823" s="1">
        <f t="shared" si="959"/>
        <v>2.7594609736274074</v>
      </c>
      <c r="L823" s="1">
        <f t="shared" ref="L823" si="960">SUM(L824:L825)</f>
        <v>0.2105936716524125</v>
      </c>
      <c r="N823" s="1"/>
    </row>
    <row r="824" spans="2:14" x14ac:dyDescent="0.35">
      <c r="B824" s="5" t="str">
        <f t="shared" si="958"/>
        <v>SPS1</v>
      </c>
      <c r="C824" s="5" t="str">
        <f t="shared" si="953"/>
        <v>CH</v>
      </c>
      <c r="D824" t="s">
        <v>2036</v>
      </c>
      <c r="E824" t="s">
        <v>8</v>
      </c>
      <c r="F824" s="1">
        <f>[1]Industry!B$57</f>
        <v>6.9177103428533977</v>
      </c>
      <c r="G824" s="1">
        <f>[1]Industry!C$57</f>
        <v>6.3115084394813961</v>
      </c>
      <c r="H824" s="1">
        <f>[1]Industry!D$57</f>
        <v>6.4452407187836736</v>
      </c>
      <c r="I824" s="1">
        <f>[1]Industry!E$57</f>
        <v>5.2689416257412374</v>
      </c>
      <c r="J824" s="1">
        <f>[2]Industry!F$57</f>
        <v>4.0214285616232326</v>
      </c>
      <c r="K824" s="1">
        <f>[2]Industry!G$57</f>
        <v>2.7593971542083313</v>
      </c>
      <c r="L824" s="1">
        <f>[2]Industry!H$57</f>
        <v>0.2105936716524125</v>
      </c>
      <c r="N824" s="1"/>
    </row>
    <row r="825" spans="2:14" x14ac:dyDescent="0.35">
      <c r="B825" s="5" t="str">
        <f t="shared" si="958"/>
        <v>SPS1</v>
      </c>
      <c r="C825" s="5" t="str">
        <f t="shared" si="953"/>
        <v>CH</v>
      </c>
      <c r="D825" t="s">
        <v>2037</v>
      </c>
      <c r="E825" t="s">
        <v>8</v>
      </c>
      <c r="F825" s="1">
        <f>[1]Industry!B$58</f>
        <v>1.8458241606832879</v>
      </c>
      <c r="G825" s="1">
        <f>[1]Industry!C$58</f>
        <v>1.845821378515532</v>
      </c>
      <c r="H825" s="1">
        <f>[1]Industry!D$58</f>
        <v>7.9797607650533195E-4</v>
      </c>
      <c r="I825" s="1">
        <f>[1]Industry!E$58</f>
        <v>1.4755144968456413E-4</v>
      </c>
      <c r="J825" s="1">
        <f>[2]Industry!F$58</f>
        <v>1.3394958113066232E-4</v>
      </c>
      <c r="K825" s="1">
        <f>[2]Industry!G$58</f>
        <v>6.3819419076212433E-5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28.930282712233193</v>
      </c>
      <c r="G826" s="1">
        <f t="shared" ref="G826:K826" si="961">SUM(G827:G829)</f>
        <v>26.332649824433723</v>
      </c>
      <c r="H826" s="1">
        <f t="shared" si="961"/>
        <v>28.377668805273249</v>
      </c>
      <c r="I826" s="1">
        <f t="shared" si="961"/>
        <v>28.347124814121209</v>
      </c>
      <c r="J826" s="1">
        <f t="shared" si="961"/>
        <v>28.585238065565981</v>
      </c>
      <c r="K826" s="1">
        <f t="shared" si="961"/>
        <v>29.735951875337353</v>
      </c>
      <c r="L826" s="1">
        <f t="shared" ref="L826" si="962">SUM(L827:L829)</f>
        <v>28.247279328757969</v>
      </c>
      <c r="N826" s="1"/>
    </row>
    <row r="827" spans="2:14" x14ac:dyDescent="0.35">
      <c r="B827" s="5" t="str">
        <f t="shared" ref="B827:B856" si="963">B826</f>
        <v>SPS1</v>
      </c>
      <c r="C827" s="5" t="str">
        <f t="shared" ref="C827:C856" si="964">C826</f>
        <v>CH</v>
      </c>
      <c r="D827" t="s">
        <v>2039</v>
      </c>
      <c r="E827" t="s">
        <v>8</v>
      </c>
      <c r="F827" s="1">
        <f>[1]Industry!B$59</f>
        <v>28.619769183654057</v>
      </c>
      <c r="G827" s="1">
        <f>[1]Industry!C$59</f>
        <v>25.940130340218875</v>
      </c>
      <c r="H827" s="1">
        <f>[1]Industry!D$59</f>
        <v>27.129610248367513</v>
      </c>
      <c r="I827" s="1">
        <f>[1]Industry!E$59</f>
        <v>25.057325745743384</v>
      </c>
      <c r="J827" s="1">
        <f>[2]Industry!F$59</f>
        <v>22.561064501736773</v>
      </c>
      <c r="K827" s="1">
        <f>[2]Industry!G$59</f>
        <v>23.72795711768282</v>
      </c>
      <c r="L827" s="1">
        <f>[2]Industry!H$59</f>
        <v>22.163292356464034</v>
      </c>
      <c r="N827" s="1"/>
    </row>
    <row r="828" spans="2:14" x14ac:dyDescent="0.35">
      <c r="B828" s="5" t="str">
        <f t="shared" si="963"/>
        <v>SPS1</v>
      </c>
      <c r="C828" s="5" t="str">
        <f t="shared" si="964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2.642700299469216E-2</v>
      </c>
      <c r="I828" s="1">
        <f>[1]Industry!E$60</f>
        <v>2.7232758394501656E-2</v>
      </c>
      <c r="J828" s="1">
        <f>[2]Industry!F$60</f>
        <v>2.0792833924900247E-2</v>
      </c>
      <c r="K828" s="1">
        <f>[2]Industry!G$60</f>
        <v>4.6059693525224944E-3</v>
      </c>
      <c r="L828" s="1">
        <f>[2]Industry!H$60</f>
        <v>4.6056424960355001E-3</v>
      </c>
      <c r="N828" s="1"/>
    </row>
    <row r="829" spans="2:14" x14ac:dyDescent="0.35">
      <c r="B829" s="5" t="str">
        <f t="shared" si="963"/>
        <v>SPS1</v>
      </c>
      <c r="C829" s="5" t="str">
        <f t="shared" si="964"/>
        <v>CH</v>
      </c>
      <c r="D829" t="s">
        <v>2041</v>
      </c>
      <c r="E829" t="s">
        <v>8</v>
      </c>
      <c r="F829" s="1">
        <f>[1]Industry!B$68</f>
        <v>0.31051352857913567</v>
      </c>
      <c r="G829" s="1">
        <f>[1]Industry!C$68</f>
        <v>0.3925194842148475</v>
      </c>
      <c r="H829" s="1">
        <f>[1]Industry!D$68</f>
        <v>1.2216315539110449</v>
      </c>
      <c r="I829" s="1">
        <f>[1]Industry!E$68</f>
        <v>3.2625663099833249</v>
      </c>
      <c r="J829" s="1">
        <f>[2]Industry!F$68</f>
        <v>6.0033807299043076</v>
      </c>
      <c r="K829" s="1">
        <f>[2]Industry!G$68</f>
        <v>6.0033887883020114</v>
      </c>
      <c r="L829" s="1">
        <f>[2]Industry!H$68</f>
        <v>6.0793813297978989</v>
      </c>
      <c r="N829" s="1"/>
    </row>
    <row r="830" spans="2:14" x14ac:dyDescent="0.35">
      <c r="B830" s="5" t="str">
        <f t="shared" si="963"/>
        <v>SPS1</v>
      </c>
      <c r="C830" s="5" t="str">
        <f t="shared" si="964"/>
        <v>CH</v>
      </c>
      <c r="D830" t="s">
        <v>2042</v>
      </c>
      <c r="E830" t="s">
        <v>8</v>
      </c>
      <c r="F830" s="1">
        <f>F831</f>
        <v>2.3674029661637963</v>
      </c>
      <c r="G830" s="1">
        <f t="shared" ref="G830:L830" si="965">G831</f>
        <v>2.3075017986913506</v>
      </c>
      <c r="H830" s="1">
        <f t="shared" si="965"/>
        <v>2.2296681047849765</v>
      </c>
      <c r="I830" s="1">
        <f t="shared" si="965"/>
        <v>1.5871427390931096E-4</v>
      </c>
      <c r="J830" s="1">
        <f t="shared" si="965"/>
        <v>1.2349833989731607E-4</v>
      </c>
      <c r="K830" s="1">
        <f t="shared" si="965"/>
        <v>5.127687389387062E-5</v>
      </c>
      <c r="L830" s="1">
        <f t="shared" si="965"/>
        <v>1.9230770497757186E-4</v>
      </c>
      <c r="N830" s="1"/>
    </row>
    <row r="831" spans="2:14" x14ac:dyDescent="0.35">
      <c r="B831" s="5" t="str">
        <f t="shared" si="963"/>
        <v>SPS1</v>
      </c>
      <c r="C831" s="5" t="str">
        <f t="shared" si="964"/>
        <v>CH</v>
      </c>
      <c r="D831" t="s">
        <v>2043</v>
      </c>
      <c r="E831" t="s">
        <v>8</v>
      </c>
      <c r="F831" s="1">
        <f>[1]Industry!B$61</f>
        <v>2.3674029661637963</v>
      </c>
      <c r="G831" s="1">
        <f>[1]Industry!C$61</f>
        <v>2.3075017986913506</v>
      </c>
      <c r="H831" s="1">
        <f>[1]Industry!D$61</f>
        <v>2.2296681047849765</v>
      </c>
      <c r="I831" s="1">
        <f>[1]Industry!E$61</f>
        <v>1.5871427390931096E-4</v>
      </c>
      <c r="J831" s="1">
        <f>[2]Industry!F$61</f>
        <v>1.2349833989731607E-4</v>
      </c>
      <c r="K831" s="1">
        <f>[2]Industry!G$61</f>
        <v>5.127687389387062E-5</v>
      </c>
      <c r="L831" s="1">
        <f>[2]Industry!H$61</f>
        <v>1.9230770497757186E-4</v>
      </c>
      <c r="N831" s="1"/>
    </row>
    <row r="832" spans="2:14" x14ac:dyDescent="0.35">
      <c r="B832" s="5" t="str">
        <f t="shared" si="963"/>
        <v>SPS1</v>
      </c>
      <c r="C832" s="5" t="str">
        <f t="shared" si="964"/>
        <v>CH</v>
      </c>
      <c r="D832" t="s">
        <v>2044</v>
      </c>
      <c r="E832" t="s">
        <v>8</v>
      </c>
      <c r="F832" s="1">
        <f>F833+F843</f>
        <v>11.767329824810567</v>
      </c>
      <c r="G832" s="1">
        <f t="shared" ref="G832:K832" si="966">G833+G843</f>
        <v>12.635407937529965</v>
      </c>
      <c r="H832" s="1">
        <f t="shared" si="966"/>
        <v>12.969715664230765</v>
      </c>
      <c r="I832" s="1">
        <f t="shared" si="966"/>
        <v>14.330594627488901</v>
      </c>
      <c r="J832" s="1">
        <f t="shared" si="966"/>
        <v>13.931626194673836</v>
      </c>
      <c r="K832" s="1">
        <f t="shared" si="966"/>
        <v>14.276928242981175</v>
      </c>
      <c r="L832" s="1">
        <f t="shared" ref="L832" si="967">L833+L843</f>
        <v>18.215499268505351</v>
      </c>
      <c r="N832" s="1"/>
    </row>
    <row r="833" spans="2:14" x14ac:dyDescent="0.35">
      <c r="B833" s="5" t="str">
        <f t="shared" si="963"/>
        <v>SPS1</v>
      </c>
      <c r="C833" s="5" t="str">
        <f t="shared" si="964"/>
        <v>CH</v>
      </c>
      <c r="D833" t="s">
        <v>2045</v>
      </c>
      <c r="E833" t="s">
        <v>8</v>
      </c>
      <c r="F833" s="1">
        <f>[1]Industry!B$62</f>
        <v>5.1850560883247825</v>
      </c>
      <c r="G833" s="1">
        <f>[1]Industry!C$62</f>
        <v>5.5675584428525999</v>
      </c>
      <c r="H833" s="1">
        <f>[1]Industry!D$62</f>
        <v>5.8792076071780022</v>
      </c>
      <c r="I833" s="1">
        <f>[1]Industry!E$62</f>
        <v>7.202313811396686</v>
      </c>
      <c r="J833" s="1">
        <f>[2]Industry!F$62</f>
        <v>6.7655784593331685</v>
      </c>
      <c r="K833" s="1">
        <f>[2]Industry!G$62</f>
        <v>7.073114129735572</v>
      </c>
      <c r="L833" s="1">
        <f>[2]Industry!H$62</f>
        <v>9.1334944900755453</v>
      </c>
      <c r="M833" s="1"/>
      <c r="N833" s="1"/>
    </row>
    <row r="834" spans="2:14" x14ac:dyDescent="0.35">
      <c r="B834" s="5" t="str">
        <f t="shared" si="963"/>
        <v>SPS1</v>
      </c>
      <c r="C834" s="5" t="str">
        <f t="shared" si="964"/>
        <v>CH</v>
      </c>
      <c r="D834" t="s">
        <v>2046</v>
      </c>
      <c r="E834" t="s">
        <v>8</v>
      </c>
      <c r="F834" s="1">
        <f>IFERROR(F793/F$792,0)*F$833</f>
        <v>1.122661132517264</v>
      </c>
      <c r="G834" s="1">
        <f t="shared" ref="G834:K834" si="968">IFERROR(G793/G$792,0)*G$833</f>
        <v>2.0185668671744552</v>
      </c>
      <c r="H834" s="1">
        <f t="shared" si="968"/>
        <v>0.12227621307993052</v>
      </c>
      <c r="I834" s="1">
        <f t="shared" si="968"/>
        <v>1.5194441351029739</v>
      </c>
      <c r="J834" s="1">
        <f t="shared" si="968"/>
        <v>0.79683947975764569</v>
      </c>
      <c r="K834" s="1">
        <f t="shared" si="968"/>
        <v>3.4288195348837522E-2</v>
      </c>
      <c r="L834" s="1">
        <f t="shared" ref="L834" si="969">IFERROR(L793/L$792,0)*L$833</f>
        <v>4.087101635131981E-2</v>
      </c>
      <c r="N834" s="1"/>
    </row>
    <row r="835" spans="2:14" x14ac:dyDescent="0.35">
      <c r="B835" s="5" t="str">
        <f t="shared" si="963"/>
        <v>SPS1</v>
      </c>
      <c r="C835" s="5" t="str">
        <f t="shared" si="964"/>
        <v>CH</v>
      </c>
      <c r="D835" t="s">
        <v>2047</v>
      </c>
      <c r="E835" t="s">
        <v>8</v>
      </c>
      <c r="F835" s="1">
        <f t="shared" ref="F835:K842" si="970">IFERROR(F794/F$792,0)*F$833</f>
        <v>0.92835405074915922</v>
      </c>
      <c r="G835" s="1">
        <f t="shared" si="970"/>
        <v>0.18264947354858174</v>
      </c>
      <c r="H835" s="1">
        <f t="shared" si="970"/>
        <v>1.2760983084078554</v>
      </c>
      <c r="I835" s="1">
        <f t="shared" si="970"/>
        <v>1.7685950807249271</v>
      </c>
      <c r="J835" s="1">
        <f t="shared" si="970"/>
        <v>0.84152991524784393</v>
      </c>
      <c r="K835" s="1">
        <f t="shared" si="970"/>
        <v>0.10284032048921304</v>
      </c>
      <c r="L835" s="1">
        <f t="shared" ref="L835" si="971">IFERROR(L794/L$792,0)*L$833</f>
        <v>2.6011844254398109E-2</v>
      </c>
      <c r="N835" s="1"/>
    </row>
    <row r="836" spans="2:14" x14ac:dyDescent="0.35">
      <c r="B836" s="5" t="str">
        <f t="shared" si="963"/>
        <v>SPS1</v>
      </c>
      <c r="C836" s="5" t="str">
        <f t="shared" si="964"/>
        <v>CH</v>
      </c>
      <c r="D836" t="s">
        <v>2048</v>
      </c>
      <c r="E836" t="s">
        <v>8</v>
      </c>
      <c r="F836" s="1">
        <f t="shared" si="970"/>
        <v>0</v>
      </c>
      <c r="G836" s="1">
        <f t="shared" si="970"/>
        <v>0</v>
      </c>
      <c r="H836" s="1">
        <f t="shared" si="970"/>
        <v>0</v>
      </c>
      <c r="I836" s="1">
        <f t="shared" si="970"/>
        <v>0</v>
      </c>
      <c r="J836" s="1">
        <f t="shared" si="970"/>
        <v>0</v>
      </c>
      <c r="K836" s="1">
        <f t="shared" si="970"/>
        <v>0</v>
      </c>
      <c r="L836" s="1">
        <f t="shared" ref="L836" si="972">IFERROR(L795/L$792,0)*L$833</f>
        <v>0</v>
      </c>
      <c r="N836" s="1"/>
    </row>
    <row r="837" spans="2:14" x14ac:dyDescent="0.35">
      <c r="B837" s="5" t="str">
        <f t="shared" si="963"/>
        <v>SPS1</v>
      </c>
      <c r="C837" s="5" t="str">
        <f t="shared" si="964"/>
        <v>CH</v>
      </c>
      <c r="D837" t="s">
        <v>2049</v>
      </c>
      <c r="E837" t="s">
        <v>8</v>
      </c>
      <c r="F837" s="1">
        <f t="shared" si="970"/>
        <v>0</v>
      </c>
      <c r="G837" s="1">
        <f t="shared" si="970"/>
        <v>0</v>
      </c>
      <c r="H837" s="1">
        <f t="shared" si="970"/>
        <v>0</v>
      </c>
      <c r="I837" s="1">
        <f t="shared" si="970"/>
        <v>1.7984629600616204E-4</v>
      </c>
      <c r="J837" s="1">
        <f t="shared" si="970"/>
        <v>9.7080980043352176E-5</v>
      </c>
      <c r="K837" s="1">
        <f t="shared" si="970"/>
        <v>7.8712747619700903E-5</v>
      </c>
      <c r="L837" s="1">
        <f t="shared" ref="L837" si="973">IFERROR(L796/L$792,0)*L$833</f>
        <v>1.3865821164677251E-4</v>
      </c>
      <c r="N837" s="1"/>
    </row>
    <row r="838" spans="2:14" x14ac:dyDescent="0.35">
      <c r="B838" s="5" t="str">
        <f t="shared" si="963"/>
        <v>SPS1</v>
      </c>
      <c r="C838" s="5" t="str">
        <f t="shared" si="964"/>
        <v>CH</v>
      </c>
      <c r="D838" t="s">
        <v>2050</v>
      </c>
      <c r="E838" t="s">
        <v>8</v>
      </c>
      <c r="F838" s="1">
        <f t="shared" si="970"/>
        <v>2.3372683743802618</v>
      </c>
      <c r="G838" s="1">
        <f t="shared" si="970"/>
        <v>1.8108624688532697</v>
      </c>
      <c r="H838" s="1">
        <f t="shared" si="970"/>
        <v>2.6902269598777246E-3</v>
      </c>
      <c r="I838" s="1">
        <f t="shared" si="970"/>
        <v>2.0502313094654147E-3</v>
      </c>
      <c r="J838" s="1">
        <f t="shared" si="970"/>
        <v>1.4656964596252273E-3</v>
      </c>
      <c r="K838" s="1">
        <f t="shared" si="970"/>
        <v>4.9840958679961411E-4</v>
      </c>
      <c r="L838" s="1">
        <f t="shared" ref="L838" si="974">IFERROR(L797/L$792,0)*L$833</f>
        <v>3.1692376994632842E-4</v>
      </c>
      <c r="N838" s="1"/>
    </row>
    <row r="839" spans="2:14" x14ac:dyDescent="0.35">
      <c r="B839" s="5" t="str">
        <f t="shared" si="963"/>
        <v>SPS1</v>
      </c>
      <c r="C839" s="5" t="str">
        <f t="shared" si="964"/>
        <v>CH</v>
      </c>
      <c r="D839" t="s">
        <v>2051</v>
      </c>
      <c r="E839" t="s">
        <v>8</v>
      </c>
      <c r="F839" s="1">
        <f t="shared" si="970"/>
        <v>0</v>
      </c>
      <c r="G839" s="1">
        <f t="shared" si="970"/>
        <v>0</v>
      </c>
      <c r="H839" s="1">
        <f t="shared" si="970"/>
        <v>0</v>
      </c>
      <c r="I839" s="1">
        <f t="shared" si="970"/>
        <v>0</v>
      </c>
      <c r="J839" s="1">
        <f t="shared" si="970"/>
        <v>0</v>
      </c>
      <c r="K839" s="1">
        <f t="shared" si="970"/>
        <v>0</v>
      </c>
      <c r="L839" s="1">
        <f t="shared" ref="L839" si="975">IFERROR(L798/L$792,0)*L$833</f>
        <v>0</v>
      </c>
      <c r="N839" s="1"/>
    </row>
    <row r="840" spans="2:14" x14ac:dyDescent="0.35">
      <c r="B840" s="5" t="str">
        <f t="shared" si="963"/>
        <v>SPS1</v>
      </c>
      <c r="C840" s="5" t="str">
        <f t="shared" si="964"/>
        <v>CH</v>
      </c>
      <c r="D840" t="s">
        <v>2052</v>
      </c>
      <c r="E840" t="s">
        <v>8</v>
      </c>
      <c r="F840" s="1">
        <f t="shared" si="970"/>
        <v>0.79677253067809761</v>
      </c>
      <c r="G840" s="1">
        <f t="shared" si="970"/>
        <v>1.555479633276293</v>
      </c>
      <c r="H840" s="1">
        <f t="shared" si="970"/>
        <v>4.4781428587303385</v>
      </c>
      <c r="I840" s="1">
        <f t="shared" si="970"/>
        <v>3.912044517963313</v>
      </c>
      <c r="J840" s="1">
        <f t="shared" si="970"/>
        <v>5.1256462868880099</v>
      </c>
      <c r="K840" s="1">
        <f t="shared" si="970"/>
        <v>6.9354084915631029</v>
      </c>
      <c r="L840" s="1">
        <f t="shared" ref="L840" si="976">IFERROR(L799/L$792,0)*L$833</f>
        <v>9.066156047488235</v>
      </c>
      <c r="N840" s="1"/>
    </row>
    <row r="841" spans="2:14" x14ac:dyDescent="0.35">
      <c r="B841" s="5" t="str">
        <f t="shared" si="963"/>
        <v>SPS1</v>
      </c>
      <c r="C841" s="5" t="str">
        <f t="shared" si="964"/>
        <v>CH</v>
      </c>
      <c r="D841" t="s">
        <v>2053</v>
      </c>
      <c r="E841" t="s">
        <v>8</v>
      </c>
      <c r="F841" s="1">
        <f t="shared" si="970"/>
        <v>0</v>
      </c>
      <c r="G841" s="1">
        <f t="shared" si="970"/>
        <v>0</v>
      </c>
      <c r="H841" s="1">
        <f t="shared" si="970"/>
        <v>0</v>
      </c>
      <c r="I841" s="1">
        <f t="shared" si="970"/>
        <v>0</v>
      </c>
      <c r="J841" s="1">
        <f t="shared" si="970"/>
        <v>0</v>
      </c>
      <c r="K841" s="1">
        <f t="shared" si="970"/>
        <v>0</v>
      </c>
      <c r="L841" s="1">
        <f t="shared" ref="L841" si="977">IFERROR(L800/L$792,0)*L$833</f>
        <v>0</v>
      </c>
      <c r="N841" s="1"/>
    </row>
    <row r="842" spans="2:14" x14ac:dyDescent="0.35">
      <c r="B842" s="5" t="str">
        <f t="shared" si="963"/>
        <v>SPS1</v>
      </c>
      <c r="C842" s="5" t="str">
        <f t="shared" si="964"/>
        <v>CH</v>
      </c>
      <c r="D842" t="s">
        <v>2054</v>
      </c>
      <c r="E842" t="s">
        <v>8</v>
      </c>
      <c r="F842" s="1">
        <f t="shared" si="970"/>
        <v>0</v>
      </c>
      <c r="G842" s="1">
        <f t="shared" si="970"/>
        <v>0</v>
      </c>
      <c r="H842" s="1">
        <f t="shared" si="970"/>
        <v>0</v>
      </c>
      <c r="I842" s="1">
        <f t="shared" si="970"/>
        <v>0</v>
      </c>
      <c r="J842" s="1">
        <f t="shared" si="970"/>
        <v>0</v>
      </c>
      <c r="K842" s="1">
        <f t="shared" si="970"/>
        <v>0</v>
      </c>
      <c r="L842" s="1">
        <f t="shared" ref="L842" si="978">IFERROR(L801/L$792,0)*L$833</f>
        <v>0</v>
      </c>
      <c r="M842" s="1"/>
      <c r="N842" s="1"/>
    </row>
    <row r="843" spans="2:14" x14ac:dyDescent="0.35">
      <c r="B843" s="5" t="str">
        <f t="shared" si="963"/>
        <v>SPS1</v>
      </c>
      <c r="C843" s="5" t="str">
        <f t="shared" si="964"/>
        <v>CH</v>
      </c>
      <c r="D843" t="s">
        <v>2055</v>
      </c>
      <c r="E843" t="s">
        <v>8</v>
      </c>
      <c r="F843" s="1">
        <f>[1]Industry!B$63</f>
        <v>6.5822737364857833</v>
      </c>
      <c r="G843" s="1">
        <f>[1]Industry!C$63</f>
        <v>7.0678494946773647</v>
      </c>
      <c r="H843" s="1">
        <f>[1]Industry!D$63</f>
        <v>7.0905080570527623</v>
      </c>
      <c r="I843" s="1">
        <f>[1]Industry!E$63</f>
        <v>7.1282808160922153</v>
      </c>
      <c r="J843" s="1">
        <f>[2]Industry!F$63</f>
        <v>7.1660477353406664</v>
      </c>
      <c r="K843" s="1">
        <f>[2]Industry!G$63</f>
        <v>7.2038141132456026</v>
      </c>
      <c r="L843" s="1">
        <f>[2]Industry!H$63</f>
        <v>9.0820047784298055</v>
      </c>
      <c r="N843" s="1"/>
    </row>
    <row r="844" spans="2:14" x14ac:dyDescent="0.35">
      <c r="B844" s="5" t="str">
        <f t="shared" si="963"/>
        <v>SPS1</v>
      </c>
      <c r="C844" s="5" t="str">
        <f t="shared" si="964"/>
        <v>CH</v>
      </c>
      <c r="D844" t="s">
        <v>2056</v>
      </c>
      <c r="E844" t="s">
        <v>8</v>
      </c>
      <c r="F844" s="1">
        <f>F845</f>
        <v>5.3111240812657341</v>
      </c>
      <c r="G844" s="1">
        <f t="shared" ref="G844:L844" si="979">G845</f>
        <v>6.2669396196579381</v>
      </c>
      <c r="H844" s="1">
        <f t="shared" si="979"/>
        <v>6.0336283593019617</v>
      </c>
      <c r="I844" s="1">
        <f t="shared" si="979"/>
        <v>6.1244687297876785</v>
      </c>
      <c r="J844" s="1">
        <f t="shared" si="979"/>
        <v>6.1541273140276198</v>
      </c>
      <c r="K844" s="1">
        <f t="shared" si="979"/>
        <v>6.1757443640313667</v>
      </c>
      <c r="L844" s="1">
        <f t="shared" si="979"/>
        <v>6.2149970291870176</v>
      </c>
      <c r="N844" s="1"/>
    </row>
    <row r="845" spans="2:14" x14ac:dyDescent="0.35">
      <c r="B845" s="5" t="str">
        <f t="shared" si="963"/>
        <v>SPS1</v>
      </c>
      <c r="C845" s="5" t="str">
        <f t="shared" si="964"/>
        <v>CH</v>
      </c>
      <c r="D845" t="s">
        <v>2057</v>
      </c>
      <c r="E845" t="s">
        <v>8</v>
      </c>
      <c r="F845" s="1">
        <f>[1]Industry!B$64</f>
        <v>5.3111240812657341</v>
      </c>
      <c r="G845" s="1">
        <f>[1]Industry!C$64</f>
        <v>6.2669396196579381</v>
      </c>
      <c r="H845" s="1">
        <f>[1]Industry!D$64</f>
        <v>6.0336283593019617</v>
      </c>
      <c r="I845" s="1">
        <f>[1]Industry!E$64</f>
        <v>6.1244687297876785</v>
      </c>
      <c r="J845" s="1">
        <f>[2]Industry!F$64</f>
        <v>6.1541273140276198</v>
      </c>
      <c r="K845" s="1">
        <f>[2]Industry!G$64</f>
        <v>6.1757443640313667</v>
      </c>
      <c r="L845" s="1">
        <f>[2]Industry!H$64</f>
        <v>6.2149970291870176</v>
      </c>
      <c r="N845" s="1"/>
    </row>
    <row r="846" spans="2:14" x14ac:dyDescent="0.35">
      <c r="B846" s="5" t="str">
        <f t="shared" si="963"/>
        <v>SPS1</v>
      </c>
      <c r="C846" s="5" t="str">
        <f t="shared" si="964"/>
        <v>CH</v>
      </c>
      <c r="D846" t="s">
        <v>2058</v>
      </c>
      <c r="E846" t="s">
        <v>8</v>
      </c>
      <c r="F846" s="1">
        <f>F847</f>
        <v>0.46151963789818995</v>
      </c>
      <c r="G846" s="1">
        <f t="shared" ref="G846:L846" si="980">G847</f>
        <v>0.54457578943301721</v>
      </c>
      <c r="H846" s="1">
        <f t="shared" si="980"/>
        <v>0.54462772317199415</v>
      </c>
      <c r="I846" s="1">
        <f t="shared" si="980"/>
        <v>0.54462916795666838</v>
      </c>
      <c r="J846" s="1">
        <f t="shared" si="980"/>
        <v>0.54458246843162206</v>
      </c>
      <c r="K846" s="1">
        <f t="shared" si="980"/>
        <v>0.54458279864619108</v>
      </c>
      <c r="L846" s="1">
        <f t="shared" si="980"/>
        <v>0.54458325771367844</v>
      </c>
      <c r="N846" s="1"/>
    </row>
    <row r="847" spans="2:14" x14ac:dyDescent="0.35">
      <c r="B847" s="5" t="str">
        <f t="shared" si="963"/>
        <v>SPS1</v>
      </c>
      <c r="C847" s="5" t="str">
        <f t="shared" si="964"/>
        <v>CH</v>
      </c>
      <c r="D847" t="s">
        <v>2059</v>
      </c>
      <c r="E847" t="s">
        <v>8</v>
      </c>
      <c r="F847" s="1">
        <f>[1]Industry!B$65</f>
        <v>0.46151963789818995</v>
      </c>
      <c r="G847" s="1">
        <f>[1]Industry!C$65</f>
        <v>0.54457578943301721</v>
      </c>
      <c r="H847" s="1">
        <f>[1]Industry!D$65</f>
        <v>0.54462772317199415</v>
      </c>
      <c r="I847" s="1">
        <f>[1]Industry!E$65</f>
        <v>0.54462916795666838</v>
      </c>
      <c r="J847" s="1">
        <f>[2]Industry!F$65</f>
        <v>0.54458246843162206</v>
      </c>
      <c r="K847" s="1">
        <f>[2]Industry!G$65</f>
        <v>0.54458279864619108</v>
      </c>
      <c r="L847" s="1">
        <f>[2]Industry!H$65</f>
        <v>0.54458325771367844</v>
      </c>
      <c r="N847" s="1"/>
    </row>
    <row r="848" spans="2:14" x14ac:dyDescent="0.35">
      <c r="B848" s="5" t="str">
        <f t="shared" si="963"/>
        <v>SPS1</v>
      </c>
      <c r="C848" s="5" t="str">
        <f t="shared" si="964"/>
        <v>CH</v>
      </c>
      <c r="D848" t="s">
        <v>2060</v>
      </c>
      <c r="E848" t="s">
        <v>8</v>
      </c>
      <c r="F848" s="1">
        <f>F849</f>
        <v>4.1173680544385762</v>
      </c>
      <c r="G848" s="1">
        <f t="shared" ref="G848:L848" si="981">G849</f>
        <v>4.2663195310465181</v>
      </c>
      <c r="H848" s="1">
        <f t="shared" si="981"/>
        <v>5.8273522521345233</v>
      </c>
      <c r="I848" s="1">
        <f t="shared" si="981"/>
        <v>5.7625103449308108</v>
      </c>
      <c r="J848" s="1">
        <f t="shared" si="981"/>
        <v>5.6973956179610514</v>
      </c>
      <c r="K848" s="1">
        <f t="shared" si="981"/>
        <v>5.6699888152903011</v>
      </c>
      <c r="L848" s="1">
        <f t="shared" si="981"/>
        <v>5.7825786345012666</v>
      </c>
      <c r="N848" s="1"/>
    </row>
    <row r="849" spans="2:14" x14ac:dyDescent="0.35">
      <c r="B849" s="5" t="str">
        <f t="shared" si="963"/>
        <v>SPS1</v>
      </c>
      <c r="C849" s="5" t="str">
        <f t="shared" si="964"/>
        <v>CH</v>
      </c>
      <c r="D849" t="s">
        <v>2061</v>
      </c>
      <c r="E849" t="s">
        <v>8</v>
      </c>
      <c r="F849" s="1">
        <f>[1]Industry!B$66</f>
        <v>4.1173680544385762</v>
      </c>
      <c r="G849" s="1">
        <f>[1]Industry!C$66</f>
        <v>4.2663195310465181</v>
      </c>
      <c r="H849" s="1">
        <f>[1]Industry!D$66</f>
        <v>5.8273522521345233</v>
      </c>
      <c r="I849" s="1">
        <f>[1]Industry!E$66</f>
        <v>5.7625103449308108</v>
      </c>
      <c r="J849" s="1">
        <f>[2]Industry!F$66</f>
        <v>5.6973956179610514</v>
      </c>
      <c r="K849" s="1">
        <f>[2]Industry!G$66</f>
        <v>5.6699888152903011</v>
      </c>
      <c r="L849" s="1">
        <f>[2]Industry!H$66</f>
        <v>5.7825786345012666</v>
      </c>
      <c r="N849" s="1"/>
    </row>
    <row r="850" spans="2:14" x14ac:dyDescent="0.35">
      <c r="B850" s="5" t="str">
        <f t="shared" si="963"/>
        <v>SPS1</v>
      </c>
      <c r="C850" s="5" t="str">
        <f t="shared" si="964"/>
        <v>CH</v>
      </c>
      <c r="D850" t="s">
        <v>2062</v>
      </c>
      <c r="E850" t="s">
        <v>8</v>
      </c>
      <c r="F850" s="1">
        <f>F851</f>
        <v>6.7641181729311065E-2</v>
      </c>
      <c r="G850" s="1">
        <f t="shared" ref="G850:L850" si="982">G851</f>
        <v>8.5491523208523268E-2</v>
      </c>
      <c r="H850" s="1">
        <f t="shared" si="982"/>
        <v>8.419430149156891E-2</v>
      </c>
      <c r="I850" s="1">
        <f t="shared" si="982"/>
        <v>8.5486550814930021E-2</v>
      </c>
      <c r="J850" s="1">
        <f t="shared" si="982"/>
        <v>8.5446042804761729E-2</v>
      </c>
      <c r="K850" s="1">
        <f t="shared" si="982"/>
        <v>8.5341947649360955E-2</v>
      </c>
      <c r="L850" s="1">
        <f t="shared" si="982"/>
        <v>4.4469026996080768E-2</v>
      </c>
      <c r="N850" s="1"/>
    </row>
    <row r="851" spans="2:14" x14ac:dyDescent="0.35">
      <c r="B851" s="5" t="str">
        <f t="shared" si="963"/>
        <v>SPS1</v>
      </c>
      <c r="C851" s="5" t="str">
        <f t="shared" si="964"/>
        <v>CH</v>
      </c>
      <c r="D851" t="s">
        <v>2063</v>
      </c>
      <c r="E851" t="s">
        <v>8</v>
      </c>
      <c r="F851" s="1">
        <f>[1]Industry!B$67</f>
        <v>6.7641181729311065E-2</v>
      </c>
      <c r="G851" s="1">
        <f>[1]Industry!C$67</f>
        <v>8.5491523208523268E-2</v>
      </c>
      <c r="H851" s="1">
        <f>[1]Industry!D$67</f>
        <v>8.419430149156891E-2</v>
      </c>
      <c r="I851" s="1">
        <f>[1]Industry!E$67</f>
        <v>8.5486550814930021E-2</v>
      </c>
      <c r="J851" s="1">
        <f>[2]Industry!F$67</f>
        <v>8.5446042804761729E-2</v>
      </c>
      <c r="K851" s="1">
        <f>[2]Industry!G$67</f>
        <v>8.5341947649360955E-2</v>
      </c>
      <c r="L851" s="1">
        <f>[2]Industry!H$67</f>
        <v>4.4469026996080768E-2</v>
      </c>
      <c r="N851" s="1"/>
    </row>
    <row r="852" spans="2:14" x14ac:dyDescent="0.35">
      <c r="B852" s="5" t="str">
        <f t="shared" si="963"/>
        <v>SPS1</v>
      </c>
      <c r="C852" s="5" t="str">
        <f t="shared" si="964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3">G853</f>
        <v>0</v>
      </c>
      <c r="H852" s="1">
        <f t="shared" si="983"/>
        <v>0</v>
      </c>
      <c r="I852" s="1">
        <f t="shared" si="983"/>
        <v>0</v>
      </c>
      <c r="J852" s="1">
        <f t="shared" si="983"/>
        <v>3.8004960138617381E-3</v>
      </c>
      <c r="K852" s="1">
        <f t="shared" si="983"/>
        <v>3.8242698862831549E-3</v>
      </c>
      <c r="L852" s="1">
        <f t="shared" si="983"/>
        <v>0.14976779736153714</v>
      </c>
      <c r="N852" s="1"/>
    </row>
    <row r="853" spans="2:14" x14ac:dyDescent="0.35">
      <c r="B853" s="5" t="str">
        <f t="shared" si="963"/>
        <v>SPS1</v>
      </c>
      <c r="C853" s="5" t="str">
        <f t="shared" si="964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3.8004960138617381E-3</v>
      </c>
      <c r="K853" s="1">
        <f>[2]Industry!G$69</f>
        <v>3.8242698862831549E-3</v>
      </c>
      <c r="L853" s="1">
        <f>[2]Industry!H$69</f>
        <v>0.14976779736153714</v>
      </c>
      <c r="N853" s="1"/>
    </row>
    <row r="854" spans="2:14" x14ac:dyDescent="0.35">
      <c r="B854" s="5" t="str">
        <f t="shared" si="963"/>
        <v>SPS1</v>
      </c>
      <c r="C854" s="5" t="str">
        <f t="shared" si="964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4">SUM(G855:G856)</f>
        <v>1.8405401942699688</v>
      </c>
      <c r="H854" s="1">
        <f t="shared" si="984"/>
        <v>1.8405392445252828</v>
      </c>
      <c r="I854" s="1">
        <f t="shared" si="984"/>
        <v>1.841359206333768</v>
      </c>
      <c r="J854" s="1">
        <f t="shared" si="984"/>
        <v>1.8410300443248548</v>
      </c>
      <c r="K854" s="1">
        <f t="shared" si="984"/>
        <v>1.8411990644784992</v>
      </c>
      <c r="L854" s="1">
        <f t="shared" ref="L854" si="985">SUM(L855:L856)</f>
        <v>1.8412453263323398</v>
      </c>
      <c r="N854" s="1"/>
    </row>
    <row r="855" spans="2:14" x14ac:dyDescent="0.35">
      <c r="B855" s="5" t="str">
        <f t="shared" si="963"/>
        <v>SPS1</v>
      </c>
      <c r="C855" s="5" t="str">
        <f t="shared" si="964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0.31987973194895925</v>
      </c>
      <c r="H855" s="1">
        <f>[1]Industry!D$6-H856</f>
        <v>0.31987956688650843</v>
      </c>
      <c r="I855" s="1">
        <f>[1]Industry!E$6-I856</f>
        <v>0.32016972681830391</v>
      </c>
      <c r="J855" s="1">
        <f>[2]Industry!F$6-J856</f>
        <v>0.32002648617036633</v>
      </c>
      <c r="K855" s="1">
        <f>[2]Industry!G$6-K856</f>
        <v>0.3200716110195494</v>
      </c>
      <c r="L855" s="1">
        <f>[2]Industry!H$6-L856</f>
        <v>0.32009055036989098</v>
      </c>
      <c r="N855" s="1"/>
    </row>
    <row r="856" spans="2:14" x14ac:dyDescent="0.35">
      <c r="B856" s="5" t="str">
        <f t="shared" si="963"/>
        <v>SPS1</v>
      </c>
      <c r="C856" s="5" t="str">
        <f t="shared" si="964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1.5206604623210096</v>
      </c>
      <c r="H856" s="1">
        <f>[1]Industry!D$70</f>
        <v>1.5206596776387744</v>
      </c>
      <c r="I856" s="1">
        <f>[1]Industry!E$70</f>
        <v>1.5211894795154641</v>
      </c>
      <c r="J856" s="1">
        <f>[2]Industry!F$70</f>
        <v>1.5210035581544885</v>
      </c>
      <c r="K856" s="1">
        <f>[2]Industry!G$70</f>
        <v>1.5211274534589498</v>
      </c>
      <c r="L856" s="1">
        <f>[2]Industry!H$70</f>
        <v>1.5211547759624489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986">IFERROR(G820/G765,"-")</f>
        <v>0.84306236513985355</v>
      </c>
      <c r="H858" s="4">
        <f t="shared" si="986"/>
        <v>0.84373276872970593</v>
      </c>
      <c r="I858" s="4">
        <f t="shared" si="986"/>
        <v>0.84485010804612981</v>
      </c>
      <c r="J858" s="4">
        <f t="shared" si="986"/>
        <v>0.8459674473625538</v>
      </c>
      <c r="K858" s="4">
        <f t="shared" si="986"/>
        <v>0.8470847866789788</v>
      </c>
      <c r="L858" s="4">
        <f t="shared" ref="L858" si="987">IFERROR(L820/L765,"-")</f>
        <v>0.84931946531182312</v>
      </c>
      <c r="N858" s="1"/>
    </row>
    <row r="859" spans="2:14" x14ac:dyDescent="0.35">
      <c r="B859" s="5" t="str">
        <f t="shared" ref="B859:B881" si="988">B858</f>
        <v>SPS1</v>
      </c>
      <c r="C859" s="5" t="str">
        <f t="shared" ref="C859:C881" si="989">C858</f>
        <v>CH</v>
      </c>
      <c r="D859" t="s">
        <v>2070</v>
      </c>
      <c r="E859" t="s">
        <v>240</v>
      </c>
      <c r="F859" s="4">
        <f t="shared" ref="F859:K859" si="990">IFERROR(F821/F766,"-")</f>
        <v>3.0809801822513299</v>
      </c>
      <c r="G859" s="4">
        <f t="shared" si="990"/>
        <v>3.1055374774069144</v>
      </c>
      <c r="H859" s="4">
        <f t="shared" si="990"/>
        <v>3.1423734201402902</v>
      </c>
      <c r="I859" s="4">
        <f t="shared" si="990"/>
        <v>3.2037666580292532</v>
      </c>
      <c r="J859" s="4">
        <f t="shared" si="990"/>
        <v>3.2651598959182082</v>
      </c>
      <c r="K859" s="4">
        <f t="shared" si="990"/>
        <v>3.3265531338071721</v>
      </c>
      <c r="L859" s="4">
        <f t="shared" ref="L859" si="991">IFERROR(L821/L766,"-")</f>
        <v>3.4493396095850901</v>
      </c>
      <c r="N859" s="1"/>
    </row>
    <row r="860" spans="2:14" x14ac:dyDescent="0.35">
      <c r="B860" s="5" t="str">
        <f t="shared" si="988"/>
        <v>SPS1</v>
      </c>
      <c r="C860" s="5" t="str">
        <f t="shared" si="989"/>
        <v>CH</v>
      </c>
      <c r="D860" t="s">
        <v>2071</v>
      </c>
      <c r="E860" t="s">
        <v>240</v>
      </c>
      <c r="F860" s="4">
        <f t="shared" ref="F860:K860" si="992">IFERROR(F822/F767,"-")</f>
        <v>1.0000000000000002</v>
      </c>
      <c r="G860" s="4">
        <f t="shared" si="992"/>
        <v>0.99999998540038293</v>
      </c>
      <c r="H860" s="4">
        <f t="shared" si="992"/>
        <v>0.99999998565801407</v>
      </c>
      <c r="I860" s="4">
        <f t="shared" si="992"/>
        <v>1.0000000937295803</v>
      </c>
      <c r="J860" s="4">
        <f t="shared" si="992"/>
        <v>1.0000001157465084</v>
      </c>
      <c r="K860" s="4">
        <f t="shared" si="992"/>
        <v>1.0000001863853785</v>
      </c>
      <c r="L860" s="4">
        <f t="shared" ref="L860" si="993">IFERROR(L822/L767,"-")</f>
        <v>1.0000001566812087</v>
      </c>
      <c r="N860" s="1"/>
    </row>
    <row r="861" spans="2:14" x14ac:dyDescent="0.35">
      <c r="B861" s="5" t="str">
        <f t="shared" si="988"/>
        <v>SPS1</v>
      </c>
      <c r="C861" s="5" t="str">
        <f t="shared" si="989"/>
        <v>CH</v>
      </c>
      <c r="D861" t="s">
        <v>2072</v>
      </c>
      <c r="E861" t="s">
        <v>240</v>
      </c>
      <c r="F861" s="4">
        <f>IFERROR(F824/F769,"-")</f>
        <v>0.77746213224363425</v>
      </c>
      <c r="G861" s="4">
        <f t="shared" ref="G861:K862" si="994">IFERROR(G824/G769,"-")</f>
        <v>0.77871988564932437</v>
      </c>
      <c r="H861" s="4">
        <f t="shared" si="994"/>
        <v>0.78060651575785522</v>
      </c>
      <c r="I861" s="4">
        <f t="shared" si="994"/>
        <v>0.78375089927207775</v>
      </c>
      <c r="J861" s="4">
        <f t="shared" si="994"/>
        <v>0.78689528278629683</v>
      </c>
      <c r="K861" s="4">
        <f t="shared" si="994"/>
        <v>0.79003966630051836</v>
      </c>
      <c r="L861" s="4">
        <f t="shared" ref="L861" si="995">IFERROR(L824/L769,"-")</f>
        <v>0.79632843332896097</v>
      </c>
      <c r="N861" s="1"/>
    </row>
    <row r="862" spans="2:14" x14ac:dyDescent="0.35">
      <c r="B862" s="5" t="str">
        <f t="shared" si="988"/>
        <v>SPS1</v>
      </c>
      <c r="C862" s="5" t="str">
        <f t="shared" si="989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994"/>
        <v>0.67905000000000004</v>
      </c>
      <c r="H862" s="4">
        <f t="shared" si="994"/>
        <v>0.68343749999999959</v>
      </c>
      <c r="I862" s="4">
        <f t="shared" si="994"/>
        <v>0.69074999999999975</v>
      </c>
      <c r="J862" s="4">
        <f t="shared" si="994"/>
        <v>0.69806249999999925</v>
      </c>
      <c r="K862" s="4">
        <f t="shared" si="994"/>
        <v>0.70537500000000053</v>
      </c>
      <c r="L862" s="4" t="str">
        <f t="shared" ref="L862" si="996">IFERROR(L825/L770,"-")</f>
        <v>-</v>
      </c>
      <c r="N862" s="1"/>
    </row>
    <row r="863" spans="2:14" x14ac:dyDescent="0.35">
      <c r="B863" s="5" t="str">
        <f t="shared" si="988"/>
        <v>SPS1</v>
      </c>
      <c r="C863" s="5" t="str">
        <f t="shared" si="989"/>
        <v>CH</v>
      </c>
      <c r="D863" t="s">
        <v>2074</v>
      </c>
      <c r="E863" t="s">
        <v>240</v>
      </c>
      <c r="F863" s="4">
        <f>IFERROR(F827/F779,"-")</f>
        <v>0.80515046590235018</v>
      </c>
      <c r="G863" s="4">
        <f t="shared" ref="G863:K865" si="997">IFERROR(G827/G779,"-")</f>
        <v>0.80749645262926895</v>
      </c>
      <c r="H863" s="4">
        <f t="shared" si="997"/>
        <v>0.80762775041181001</v>
      </c>
      <c r="I863" s="4">
        <f t="shared" si="997"/>
        <v>0.80815701784574479</v>
      </c>
      <c r="J863" s="4">
        <f t="shared" si="997"/>
        <v>0.81007865871771978</v>
      </c>
      <c r="K863" s="4">
        <f t="shared" si="997"/>
        <v>0.81209265880579862</v>
      </c>
      <c r="L863" s="4">
        <f t="shared" ref="L863" si="998">IFERROR(L827/L779,"-")</f>
        <v>0.82009291841138066</v>
      </c>
      <c r="N863" s="1"/>
    </row>
    <row r="864" spans="2:14" x14ac:dyDescent="0.35">
      <c r="B864" s="5" t="str">
        <f t="shared" si="988"/>
        <v>SPS1</v>
      </c>
      <c r="C864" s="5" t="str">
        <f t="shared" si="989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7"/>
        <v>0</v>
      </c>
      <c r="H864" s="4">
        <f t="shared" si="997"/>
        <v>0.52913417074410884</v>
      </c>
      <c r="I864" s="4" t="str">
        <f t="shared" si="997"/>
        <v>-</v>
      </c>
      <c r="J864" s="4" t="str">
        <f t="shared" si="997"/>
        <v>-</v>
      </c>
      <c r="K864" s="4" t="str">
        <f t="shared" si="997"/>
        <v>-</v>
      </c>
      <c r="L864" s="4" t="str">
        <f t="shared" ref="L864" si="999">IFERROR(L828/L780,"-")</f>
        <v>-</v>
      </c>
      <c r="N864" s="1"/>
    </row>
    <row r="865" spans="2:14" x14ac:dyDescent="0.35">
      <c r="B865" s="5" t="str">
        <f t="shared" si="988"/>
        <v>SPS1</v>
      </c>
      <c r="C865" s="5" t="str">
        <f t="shared" si="989"/>
        <v>CH</v>
      </c>
      <c r="D865" t="s">
        <v>2076</v>
      </c>
      <c r="E865" t="s">
        <v>240</v>
      </c>
      <c r="F865" s="4">
        <f>IFERROR(F829/F781,"-")</f>
        <v>0.70057796861439781</v>
      </c>
      <c r="G865" s="4">
        <f t="shared" si="997"/>
        <v>0.62966786279811926</v>
      </c>
      <c r="H865" s="4">
        <f t="shared" si="997"/>
        <v>0.69091660658854792</v>
      </c>
      <c r="I865" s="4">
        <f t="shared" si="997"/>
        <v>0.71100000000000008</v>
      </c>
      <c r="J865" s="4">
        <f t="shared" si="997"/>
        <v>0.71099999999999985</v>
      </c>
      <c r="K865" s="4">
        <f t="shared" si="997"/>
        <v>0.71099999999999941</v>
      </c>
      <c r="L865" s="4">
        <f t="shared" ref="L865" si="1000">IFERROR(L829/L781,"-")</f>
        <v>0.72000000000000064</v>
      </c>
      <c r="N865" s="1"/>
    </row>
    <row r="866" spans="2:14" x14ac:dyDescent="0.35">
      <c r="B866" s="5" t="str">
        <f t="shared" si="988"/>
        <v>SPS1</v>
      </c>
      <c r="C866" s="5" t="str">
        <f t="shared" si="989"/>
        <v>CH</v>
      </c>
      <c r="D866" t="s">
        <v>2077</v>
      </c>
      <c r="E866" t="s">
        <v>240</v>
      </c>
      <c r="F866" s="4">
        <f>IFERROR(F831/F790,"-")</f>
        <v>0.66499999999999937</v>
      </c>
      <c r="G866" s="4">
        <f t="shared" ref="G866:K866" si="1001">IFERROR(G831/G790,"-")</f>
        <v>0.66599999999999926</v>
      </c>
      <c r="H866" s="4">
        <f t="shared" si="1001"/>
        <v>0.66750000000000009</v>
      </c>
      <c r="I866" s="4">
        <f t="shared" si="1001"/>
        <v>0.66999999999999993</v>
      </c>
      <c r="J866" s="4">
        <f t="shared" si="1001"/>
        <v>0.67249999999999943</v>
      </c>
      <c r="K866" s="4">
        <f t="shared" si="1001"/>
        <v>0.6749999999999996</v>
      </c>
      <c r="L866" s="4">
        <f t="shared" ref="L866" si="1002">IFERROR(L831/L790,"-")</f>
        <v>0.6799999999999996</v>
      </c>
      <c r="N866" s="1"/>
    </row>
    <row r="867" spans="2:14" x14ac:dyDescent="0.35">
      <c r="B867" s="5" t="str">
        <f t="shared" si="988"/>
        <v>SPS1</v>
      </c>
      <c r="C867" s="5" t="str">
        <f t="shared" si="989"/>
        <v>CH</v>
      </c>
      <c r="D867" t="s">
        <v>2078</v>
      </c>
      <c r="E867" t="s">
        <v>240</v>
      </c>
      <c r="F867" s="4">
        <f>IFERROR(F834/F793,"-")</f>
        <v>1.2080015905695864</v>
      </c>
      <c r="G867" s="4">
        <f t="shared" ref="G867:K867" si="1003">IFERROR(G834/G793,"-")</f>
        <v>0.97422592452300383</v>
      </c>
      <c r="H867" s="4">
        <f t="shared" si="1003"/>
        <v>1.2003764985639274</v>
      </c>
      <c r="I867" s="4">
        <f t="shared" si="1003"/>
        <v>1.15292662830735</v>
      </c>
      <c r="J867" s="4">
        <f t="shared" si="1003"/>
        <v>0.93904421274282024</v>
      </c>
      <c r="K867" s="4">
        <f t="shared" si="1003"/>
        <v>0.94193766128359735</v>
      </c>
      <c r="L867" s="4">
        <f t="shared" ref="L867" si="1004">IFERROR(L834/L793,"-")</f>
        <v>0.94734939954433151</v>
      </c>
      <c r="N867" s="1"/>
    </row>
    <row r="868" spans="2:14" x14ac:dyDescent="0.35">
      <c r="B868" s="5" t="str">
        <f t="shared" si="988"/>
        <v>SPS1</v>
      </c>
      <c r="C868" s="5" t="str">
        <f t="shared" si="989"/>
        <v>CH</v>
      </c>
      <c r="D868" t="s">
        <v>2079</v>
      </c>
      <c r="E868" t="s">
        <v>240</v>
      </c>
      <c r="F868" s="4">
        <f t="shared" ref="F868:K876" si="1005">IFERROR(F835/F794,"-")</f>
        <v>1.2080015905695862</v>
      </c>
      <c r="G868" s="4">
        <f t="shared" si="1005"/>
        <v>0.97422592452300372</v>
      </c>
      <c r="H868" s="4">
        <f t="shared" si="1005"/>
        <v>1.2003764985639274</v>
      </c>
      <c r="I868" s="4">
        <f t="shared" si="1005"/>
        <v>1.1529266283073498</v>
      </c>
      <c r="J868" s="4">
        <f t="shared" si="1005"/>
        <v>0.93904421274282035</v>
      </c>
      <c r="K868" s="4">
        <f t="shared" si="1005"/>
        <v>0.94193766128359724</v>
      </c>
      <c r="L868" s="4">
        <f t="shared" ref="L868" si="1006">IFERROR(L835/L794,"-")</f>
        <v>0.94734939954433162</v>
      </c>
      <c r="N868" s="1"/>
    </row>
    <row r="869" spans="2:14" x14ac:dyDescent="0.35">
      <c r="B869" s="5" t="str">
        <f t="shared" si="988"/>
        <v>SPS1</v>
      </c>
      <c r="C869" s="5" t="str">
        <f t="shared" si="989"/>
        <v>CH</v>
      </c>
      <c r="D869" t="s">
        <v>2080</v>
      </c>
      <c r="E869" t="s">
        <v>240</v>
      </c>
      <c r="F869" s="4" t="str">
        <f t="shared" si="1005"/>
        <v>-</v>
      </c>
      <c r="G869" s="4" t="str">
        <f t="shared" si="1005"/>
        <v>-</v>
      </c>
      <c r="H869" s="4" t="str">
        <f t="shared" si="1005"/>
        <v>-</v>
      </c>
      <c r="I869" s="4" t="str">
        <f t="shared" si="1005"/>
        <v>-</v>
      </c>
      <c r="J869" s="4" t="str">
        <f t="shared" si="1005"/>
        <v>-</v>
      </c>
      <c r="K869" s="4" t="str">
        <f t="shared" si="1005"/>
        <v>-</v>
      </c>
      <c r="L869" s="4" t="str">
        <f t="shared" ref="L869" si="1007">IFERROR(L836/L795,"-")</f>
        <v>-</v>
      </c>
      <c r="N869" s="1"/>
    </row>
    <row r="870" spans="2:14" x14ac:dyDescent="0.35">
      <c r="B870" s="5" t="str">
        <f t="shared" si="988"/>
        <v>SPS1</v>
      </c>
      <c r="C870" s="5" t="str">
        <f t="shared" si="989"/>
        <v>CH</v>
      </c>
      <c r="D870" t="s">
        <v>2081</v>
      </c>
      <c r="E870" t="s">
        <v>240</v>
      </c>
      <c r="F870" s="4" t="str">
        <f t="shared" si="1005"/>
        <v>-</v>
      </c>
      <c r="G870" s="4" t="str">
        <f t="shared" si="1005"/>
        <v>-</v>
      </c>
      <c r="H870" s="4" t="str">
        <f t="shared" si="1005"/>
        <v>-</v>
      </c>
      <c r="I870" s="4">
        <f t="shared" si="1005"/>
        <v>1.1529266283073498</v>
      </c>
      <c r="J870" s="4">
        <f t="shared" si="1005"/>
        <v>0.93904421274282035</v>
      </c>
      <c r="K870" s="4">
        <f t="shared" si="1005"/>
        <v>0.94193766128359735</v>
      </c>
      <c r="L870" s="4">
        <f t="shared" ref="L870" si="1008">IFERROR(L837/L796,"-")</f>
        <v>0.94734939954433162</v>
      </c>
      <c r="N870" s="1"/>
    </row>
    <row r="871" spans="2:14" x14ac:dyDescent="0.35">
      <c r="B871" s="5" t="str">
        <f t="shared" si="988"/>
        <v>SPS1</v>
      </c>
      <c r="C871" s="5" t="str">
        <f t="shared" si="989"/>
        <v>CH</v>
      </c>
      <c r="D871" t="s">
        <v>2082</v>
      </c>
      <c r="E871" t="s">
        <v>240</v>
      </c>
      <c r="F871" s="4">
        <f t="shared" si="1005"/>
        <v>1.2080015905695864</v>
      </c>
      <c r="G871" s="4">
        <f t="shared" si="1005"/>
        <v>0.97422592452300383</v>
      </c>
      <c r="H871" s="4">
        <f t="shared" si="1005"/>
        <v>1.2003764985639274</v>
      </c>
      <c r="I871" s="4">
        <f t="shared" si="1005"/>
        <v>1.1529266283073498</v>
      </c>
      <c r="J871" s="4">
        <f t="shared" si="1005"/>
        <v>0.93904421274282035</v>
      </c>
      <c r="K871" s="4">
        <f t="shared" si="1005"/>
        <v>0.94193766128359724</v>
      </c>
      <c r="L871" s="4">
        <f t="shared" ref="L871" si="1009">IFERROR(L838/L797,"-")</f>
        <v>0.94734939954433162</v>
      </c>
      <c r="N871" s="1"/>
    </row>
    <row r="872" spans="2:14" x14ac:dyDescent="0.35">
      <c r="B872" s="5" t="str">
        <f t="shared" si="988"/>
        <v>SPS1</v>
      </c>
      <c r="C872" s="5" t="str">
        <f t="shared" si="989"/>
        <v>CH</v>
      </c>
      <c r="D872" t="s">
        <v>2083</v>
      </c>
      <c r="E872" t="s">
        <v>240</v>
      </c>
      <c r="F872" s="4" t="str">
        <f t="shared" si="1005"/>
        <v>-</v>
      </c>
      <c r="G872" s="4" t="str">
        <f t="shared" si="1005"/>
        <v>-</v>
      </c>
      <c r="H872" s="4" t="str">
        <f t="shared" si="1005"/>
        <v>-</v>
      </c>
      <c r="I872" s="4" t="str">
        <f t="shared" si="1005"/>
        <v>-</v>
      </c>
      <c r="J872" s="4" t="str">
        <f t="shared" si="1005"/>
        <v>-</v>
      </c>
      <c r="K872" s="4" t="str">
        <f t="shared" si="1005"/>
        <v>-</v>
      </c>
      <c r="L872" s="4" t="str">
        <f t="shared" ref="L872" si="1010">IFERROR(L839/L798,"-")</f>
        <v>-</v>
      </c>
      <c r="N872" s="1"/>
    </row>
    <row r="873" spans="2:14" x14ac:dyDescent="0.35">
      <c r="B873" s="5" t="str">
        <f t="shared" si="988"/>
        <v>SPS1</v>
      </c>
      <c r="C873" s="5" t="str">
        <f t="shared" si="989"/>
        <v>CH</v>
      </c>
      <c r="D873" t="s">
        <v>2084</v>
      </c>
      <c r="E873" t="s">
        <v>240</v>
      </c>
      <c r="F873" s="4">
        <f t="shared" si="1005"/>
        <v>1.2080015905695864</v>
      </c>
      <c r="G873" s="4">
        <f t="shared" si="1005"/>
        <v>0.97422592452300383</v>
      </c>
      <c r="H873" s="4">
        <f t="shared" si="1005"/>
        <v>1.2003764985639276</v>
      </c>
      <c r="I873" s="4">
        <f t="shared" si="1005"/>
        <v>1.1529266283073498</v>
      </c>
      <c r="J873" s="4">
        <f t="shared" si="1005"/>
        <v>0.93904421274282035</v>
      </c>
      <c r="K873" s="4">
        <f t="shared" si="1005"/>
        <v>0.94193766128359735</v>
      </c>
      <c r="L873" s="4">
        <f t="shared" ref="L873" si="1011">IFERROR(L840/L799,"-")</f>
        <v>0.94734939954433162</v>
      </c>
      <c r="N873" s="1"/>
    </row>
    <row r="874" spans="2:14" x14ac:dyDescent="0.35">
      <c r="B874" s="5" t="str">
        <f t="shared" si="988"/>
        <v>SPS1</v>
      </c>
      <c r="C874" s="5" t="str">
        <f t="shared" si="989"/>
        <v>CH</v>
      </c>
      <c r="D874" t="s">
        <v>2085</v>
      </c>
      <c r="E874" t="s">
        <v>240</v>
      </c>
      <c r="F874" s="4" t="str">
        <f t="shared" si="1005"/>
        <v>-</v>
      </c>
      <c r="G874" s="4" t="str">
        <f t="shared" si="1005"/>
        <v>-</v>
      </c>
      <c r="H874" s="4" t="str">
        <f t="shared" si="1005"/>
        <v>-</v>
      </c>
      <c r="I874" s="4" t="str">
        <f t="shared" si="1005"/>
        <v>-</v>
      </c>
      <c r="J874" s="4" t="str">
        <f t="shared" si="1005"/>
        <v>-</v>
      </c>
      <c r="K874" s="4" t="str">
        <f t="shared" si="1005"/>
        <v>-</v>
      </c>
      <c r="L874" s="4" t="str">
        <f t="shared" ref="L874" si="1012">IFERROR(L841/L800,"-")</f>
        <v>-</v>
      </c>
      <c r="N874" s="1"/>
    </row>
    <row r="875" spans="2:14" x14ac:dyDescent="0.35">
      <c r="B875" s="5" t="str">
        <f t="shared" si="988"/>
        <v>SPS1</v>
      </c>
      <c r="C875" s="5" t="str">
        <f t="shared" si="989"/>
        <v>CH</v>
      </c>
      <c r="D875" t="s">
        <v>2086</v>
      </c>
      <c r="E875" t="s">
        <v>240</v>
      </c>
      <c r="F875" s="4" t="str">
        <f t="shared" si="1005"/>
        <v>-</v>
      </c>
      <c r="G875" s="4" t="str">
        <f t="shared" si="1005"/>
        <v>-</v>
      </c>
      <c r="H875" s="4" t="str">
        <f t="shared" si="1005"/>
        <v>-</v>
      </c>
      <c r="I875" s="4" t="str">
        <f t="shared" si="1005"/>
        <v>-</v>
      </c>
      <c r="J875" s="4" t="str">
        <f t="shared" si="1005"/>
        <v>-</v>
      </c>
      <c r="K875" s="4" t="str">
        <f t="shared" si="1005"/>
        <v>-</v>
      </c>
      <c r="L875" s="4" t="str">
        <f t="shared" ref="L875" si="1013">IFERROR(L842/L801,"-")</f>
        <v>-</v>
      </c>
      <c r="N875" s="1"/>
    </row>
    <row r="876" spans="2:14" x14ac:dyDescent="0.35">
      <c r="B876" s="5" t="str">
        <f t="shared" si="988"/>
        <v>SPS1</v>
      </c>
      <c r="C876" s="5" t="str">
        <f t="shared" si="989"/>
        <v>CH</v>
      </c>
      <c r="D876" t="s">
        <v>2087</v>
      </c>
      <c r="E876" t="s">
        <v>240</v>
      </c>
      <c r="F876" s="4">
        <f t="shared" si="1005"/>
        <v>0.92447626236575098</v>
      </c>
      <c r="G876" s="4">
        <f t="shared" si="1005"/>
        <v>0.92645636412827292</v>
      </c>
      <c r="H876" s="4">
        <f t="shared" si="1005"/>
        <v>0.9294265167720539</v>
      </c>
      <c r="I876" s="4">
        <f t="shared" si="1005"/>
        <v>0.93437677117835738</v>
      </c>
      <c r="J876" s="4">
        <f t="shared" si="1005"/>
        <v>0.93932702558466108</v>
      </c>
      <c r="K876" s="4">
        <f>IFERROR(K843/K802,"-")</f>
        <v>0.944277279990966</v>
      </c>
      <c r="L876" s="4">
        <f>IFERROR(L843/L802,"-")</f>
        <v>0.95000000000000084</v>
      </c>
      <c r="N876" s="1"/>
    </row>
    <row r="877" spans="2:14" x14ac:dyDescent="0.35">
      <c r="B877" s="5" t="str">
        <f t="shared" si="988"/>
        <v>SPS1</v>
      </c>
      <c r="C877" s="5" t="str">
        <f t="shared" si="989"/>
        <v>CH</v>
      </c>
      <c r="D877" t="s">
        <v>2088</v>
      </c>
      <c r="E877" t="s">
        <v>240</v>
      </c>
      <c r="F877" s="4">
        <f>IFERROR(F845/F804,"-")</f>
        <v>0.58999999999999975</v>
      </c>
      <c r="G877" s="4">
        <f t="shared" ref="G877:K877" si="1014">IFERROR(G845/G804,"-")</f>
        <v>0.59066666666666678</v>
      </c>
      <c r="H877" s="4">
        <f t="shared" si="1014"/>
        <v>0.59166666666666623</v>
      </c>
      <c r="I877" s="4">
        <f t="shared" si="1014"/>
        <v>0.59333333333333249</v>
      </c>
      <c r="J877" s="4">
        <f t="shared" si="1014"/>
        <v>0.59500000000000053</v>
      </c>
      <c r="K877" s="4">
        <f t="shared" si="1014"/>
        <v>0.59666666666666668</v>
      </c>
      <c r="L877" s="4">
        <f t="shared" ref="L877" si="1015">IFERROR(L845/L804,"-")</f>
        <v>0.60000000000000009</v>
      </c>
      <c r="N877" s="1"/>
    </row>
    <row r="878" spans="2:14" x14ac:dyDescent="0.35">
      <c r="B878" s="5" t="str">
        <f t="shared" si="988"/>
        <v>SPS1</v>
      </c>
      <c r="C878" s="5" t="str">
        <f t="shared" si="989"/>
        <v>CH</v>
      </c>
      <c r="D878" t="s">
        <v>2089</v>
      </c>
      <c r="E878" t="s">
        <v>240</v>
      </c>
      <c r="F878" s="4">
        <f>IFERROR(F847/F806,"-")</f>
        <v>0.73749999999999971</v>
      </c>
      <c r="G878" s="4">
        <f t="shared" ref="G878:K878" si="1016">IFERROR(G847/G806,"-")</f>
        <v>0.73833333333333362</v>
      </c>
      <c r="H878" s="4">
        <f t="shared" si="1016"/>
        <v>0.73958333333333359</v>
      </c>
      <c r="I878" s="4">
        <f t="shared" si="1016"/>
        <v>0.74166666666666614</v>
      </c>
      <c r="J878" s="4">
        <f t="shared" si="1016"/>
        <v>0.74374999999999969</v>
      </c>
      <c r="K878" s="4">
        <f t="shared" si="1016"/>
        <v>0.74583333333333279</v>
      </c>
      <c r="L878" s="4">
        <f t="shared" ref="L878" si="1017">IFERROR(L847/L806,"-")</f>
        <v>0.74999999999999989</v>
      </c>
      <c r="N878" s="1"/>
    </row>
    <row r="879" spans="2:14" x14ac:dyDescent="0.35">
      <c r="B879" s="5" t="str">
        <f t="shared" si="988"/>
        <v>SPS1</v>
      </c>
      <c r="C879" s="5" t="str">
        <f t="shared" si="989"/>
        <v>CH</v>
      </c>
      <c r="D879" t="s">
        <v>2090</v>
      </c>
      <c r="E879" t="s">
        <v>240</v>
      </c>
      <c r="F879" s="4">
        <f>IFERROR(F849/F808,"-")</f>
        <v>0.52800000000000002</v>
      </c>
      <c r="G879" s="4">
        <f t="shared" ref="G879:K879" si="1018">IFERROR(G849/G808,"-")</f>
        <v>0.52799999999999969</v>
      </c>
      <c r="H879" s="4">
        <f t="shared" si="1018"/>
        <v>0.52799999999999991</v>
      </c>
      <c r="I879" s="4">
        <f t="shared" si="1018"/>
        <v>0.52800000000000058</v>
      </c>
      <c r="J879" s="4">
        <f t="shared" si="1018"/>
        <v>0.52799999999999991</v>
      </c>
      <c r="K879" s="4">
        <f t="shared" si="1018"/>
        <v>0.52799999999999903</v>
      </c>
      <c r="L879" s="4">
        <f t="shared" ref="L879" si="1019">IFERROR(L849/L808,"-")</f>
        <v>0.54400000000000037</v>
      </c>
      <c r="N879" s="1"/>
    </row>
    <row r="880" spans="2:14" x14ac:dyDescent="0.35">
      <c r="B880" s="5" t="str">
        <f t="shared" si="988"/>
        <v>SPS1</v>
      </c>
      <c r="C880" s="5" t="str">
        <f t="shared" si="989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0">IFERROR(G851/G812,"-")</f>
        <v>1</v>
      </c>
      <c r="H880" s="4">
        <f t="shared" si="1020"/>
        <v>1</v>
      </c>
      <c r="I880" s="4">
        <f t="shared" si="1020"/>
        <v>1</v>
      </c>
      <c r="J880" s="4">
        <f t="shared" si="1020"/>
        <v>1</v>
      </c>
      <c r="K880" s="4">
        <f t="shared" si="1020"/>
        <v>1</v>
      </c>
      <c r="L880" s="4">
        <f t="shared" ref="L880" si="1021">IFERROR(L851/L812,"-")</f>
        <v>1</v>
      </c>
      <c r="N880" s="1"/>
    </row>
    <row r="881" spans="2:14" x14ac:dyDescent="0.35">
      <c r="B881" s="5" t="str">
        <f t="shared" si="988"/>
        <v>SPS1</v>
      </c>
      <c r="C881" s="5" t="str">
        <f t="shared" si="989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2">IFERROR(G853/G814,"-")</f>
        <v>-</v>
      </c>
      <c r="H881" s="4" t="str">
        <f t="shared" si="1022"/>
        <v>-</v>
      </c>
      <c r="I881" s="4" t="str">
        <f t="shared" si="1022"/>
        <v>-</v>
      </c>
      <c r="J881" s="4">
        <f t="shared" si="1022"/>
        <v>0.46754283433307836</v>
      </c>
      <c r="K881" s="4">
        <f t="shared" si="1022"/>
        <v>0.4453031887516829</v>
      </c>
      <c r="L881" s="4">
        <f t="shared" ref="L881" si="1023">IFERROR(L853/L814,"-")</f>
        <v>0.44515126030922741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4">F883+F887+F894+F905+F913+F915+F917+F919+F923</f>
        <v>140.10108752733348</v>
      </c>
      <c r="G882" s="17">
        <f t="shared" si="1024"/>
        <v>139.66588167652515</v>
      </c>
      <c r="H882" s="17">
        <f t="shared" si="1024"/>
        <v>133.5131325007402</v>
      </c>
      <c r="I882" s="17">
        <f t="shared" si="1024"/>
        <v>128.68311789690688</v>
      </c>
      <c r="J882" s="17">
        <f t="shared" si="1024"/>
        <v>124.89396076486133</v>
      </c>
      <c r="K882" s="17">
        <f t="shared" si="1024"/>
        <v>121.13680480537826</v>
      </c>
      <c r="L882" s="17">
        <f t="shared" ref="L882" si="1025">L883+L887+L894+L905+L913+L915+L917+L919+L923</f>
        <v>113.37777642713522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60.950012993458756</v>
      </c>
      <c r="G883" s="1">
        <f>[1]Services!C$11</f>
        <v>60.772354382465515</v>
      </c>
      <c r="H883" s="1">
        <f>[1]Services!D$11</f>
        <v>61.297766763411531</v>
      </c>
      <c r="I883" s="1">
        <f>[1]Services!E$11</f>
        <v>61.728948601616267</v>
      </c>
      <c r="J883" s="1">
        <f>[2]Services!F$11</f>
        <v>62.539580191448081</v>
      </c>
      <c r="K883" s="1">
        <f>[2]Services!G$11</f>
        <v>62.715053648412493</v>
      </c>
      <c r="L883" s="1">
        <f>[2]Services!H$11</f>
        <v>62.30809887525843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2.6236076124484264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0.64525869443337192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1.1044128581295334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0.72990424570184309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0.5846403207869173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0.52296187041682118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0.36963811986060863</v>
      </c>
      <c r="N884" s="1"/>
    </row>
    <row r="885" spans="2:14" x14ac:dyDescent="0.35">
      <c r="B885" s="5" t="str">
        <f t="shared" ref="B885:B924" si="1026">B884</f>
        <v>SPS1</v>
      </c>
      <c r="C885" s="5" t="str">
        <f t="shared" ref="C885:C924" si="102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1.3316308060978892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1.4252011235416786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1.6790539204026178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2.4832965233140731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3.0817104933057369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3.6105314599494602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4.5905300802337168</v>
      </c>
      <c r="N885" s="1"/>
    </row>
    <row r="886" spans="2:14" x14ac:dyDescent="0.35">
      <c r="B886" s="5" t="str">
        <f t="shared" si="1026"/>
        <v>SPS1</v>
      </c>
      <c r="C886" s="5" t="str">
        <f t="shared" si="102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58.701894564490466</v>
      </c>
      <c r="H886" s="1">
        <f>[1]Services!D$11-[1]Services!D$28</f>
        <v>58.514299984879379</v>
      </c>
      <c r="I886" s="1">
        <f>[1]Services!E$11-[1]Services!E$28</f>
        <v>58.515747832600354</v>
      </c>
      <c r="J886" s="1">
        <f>[2]Services!F$11-[2]Services!F$28</f>
        <v>58.873229377355429</v>
      </c>
      <c r="K886" s="1">
        <f>[2]Services!G$11-[2]Services!G$28</f>
        <v>58.581560318046215</v>
      </c>
      <c r="L886" s="1">
        <f>[2]Services!H$11-[2]Services!H$28</f>
        <v>57.347930675164108</v>
      </c>
      <c r="N886" s="1"/>
    </row>
    <row r="887" spans="2:14" x14ac:dyDescent="0.35">
      <c r="B887" s="5" t="str">
        <f t="shared" si="1026"/>
        <v>SPS1</v>
      </c>
      <c r="C887" s="5" t="str">
        <f t="shared" si="1027"/>
        <v>CH</v>
      </c>
      <c r="D887" t="s">
        <v>499</v>
      </c>
      <c r="E887" t="s">
        <v>8</v>
      </c>
      <c r="F887" s="1">
        <f>F888</f>
        <v>30.256634055456193</v>
      </c>
      <c r="G887" s="1">
        <f t="shared" ref="G887:L887" si="1028">G888</f>
        <v>26.400372028683567</v>
      </c>
      <c r="H887" s="1">
        <f t="shared" si="1028"/>
        <v>27.057776964062345</v>
      </c>
      <c r="I887" s="1">
        <f t="shared" si="1028"/>
        <v>19.557191665279888</v>
      </c>
      <c r="J887" s="1">
        <f t="shared" si="1028"/>
        <v>15.198950967128347</v>
      </c>
      <c r="K887" s="1">
        <f t="shared" si="1028"/>
        <v>12.209611856429746</v>
      </c>
      <c r="L887" s="1">
        <f t="shared" si="1028"/>
        <v>5.2087156279817108</v>
      </c>
      <c r="N887" s="1"/>
    </row>
    <row r="888" spans="2:14" x14ac:dyDescent="0.35">
      <c r="B888" s="5" t="str">
        <f t="shared" si="1026"/>
        <v>SPS1</v>
      </c>
      <c r="C888" s="5" t="str">
        <f t="shared" si="1027"/>
        <v>CH</v>
      </c>
      <c r="D888" t="s">
        <v>500</v>
      </c>
      <c r="E888" t="s">
        <v>8</v>
      </c>
      <c r="F888" s="1">
        <f>SUM(F891,F893)</f>
        <v>30.256634055456193</v>
      </c>
      <c r="G888" s="1">
        <f t="shared" ref="G888:K888" si="1029">SUM(G891,G893)</f>
        <v>26.400372028683567</v>
      </c>
      <c r="H888" s="1">
        <f t="shared" si="1029"/>
        <v>27.057776964062345</v>
      </c>
      <c r="I888" s="1">
        <f t="shared" si="1029"/>
        <v>19.557191665279888</v>
      </c>
      <c r="J888" s="1">
        <f t="shared" si="1029"/>
        <v>15.198950967128347</v>
      </c>
      <c r="K888" s="1">
        <f t="shared" si="1029"/>
        <v>12.209611856429746</v>
      </c>
      <c r="L888" s="1">
        <f t="shared" ref="L888" si="1030">SUM(L891,L893)</f>
        <v>5.2087156279817108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30.256634055456193</v>
      </c>
      <c r="G889" s="1">
        <f t="shared" ref="G889:L889" si="1031">G890</f>
        <v>26.400372028683567</v>
      </c>
      <c r="H889" s="1">
        <f t="shared" si="1031"/>
        <v>27.0577555788281</v>
      </c>
      <c r="I889" s="1">
        <f t="shared" si="1031"/>
        <v>19.55712571454012</v>
      </c>
      <c r="J889" s="1">
        <f t="shared" si="1031"/>
        <v>15.198880075302203</v>
      </c>
      <c r="K889" s="1">
        <f t="shared" si="1031"/>
        <v>12.209585644216778</v>
      </c>
      <c r="L889" s="1">
        <f t="shared" si="1031"/>
        <v>5.2086977130874663</v>
      </c>
      <c r="N889" s="1"/>
    </row>
    <row r="890" spans="2:14" x14ac:dyDescent="0.35">
      <c r="B890" s="5" t="str">
        <f t="shared" si="1026"/>
        <v>SPS1</v>
      </c>
      <c r="C890" s="5" t="str">
        <f t="shared" si="1027"/>
        <v>CH</v>
      </c>
      <c r="D890" t="s">
        <v>528</v>
      </c>
      <c r="E890" t="s">
        <v>8</v>
      </c>
      <c r="F890" s="1">
        <f>[1]Services!B$12</f>
        <v>30.256634055456193</v>
      </c>
      <c r="G890" s="1">
        <f>[1]Services!C$12</f>
        <v>26.400372028683567</v>
      </c>
      <c r="H890" s="1">
        <f>[1]Services!D$12</f>
        <v>27.0577555788281</v>
      </c>
      <c r="I890" s="1">
        <f>[1]Services!E$12</f>
        <v>19.55712571454012</v>
      </c>
      <c r="J890" s="1">
        <f>[2]Services!F$12</f>
        <v>15.198880075302203</v>
      </c>
      <c r="K890" s="1">
        <f>[2]Services!G$12</f>
        <v>12.209585644216778</v>
      </c>
      <c r="L890" s="1">
        <f>[2]Services!H$12</f>
        <v>5.2086977130874663</v>
      </c>
      <c r="N890" s="1"/>
    </row>
    <row r="891" spans="2:14" x14ac:dyDescent="0.35">
      <c r="B891" s="5" t="str">
        <f>B890</f>
        <v>SPS1</v>
      </c>
      <c r="C891" s="5" t="str">
        <f t="shared" si="1027"/>
        <v>CH</v>
      </c>
      <c r="D891" t="s">
        <v>529</v>
      </c>
      <c r="E891" t="s">
        <v>8</v>
      </c>
      <c r="F891" s="1">
        <f>F890</f>
        <v>30.256634055456193</v>
      </c>
      <c r="G891" s="1">
        <f t="shared" ref="G891:K891" si="1032">G890</f>
        <v>26.400372028683567</v>
      </c>
      <c r="H891" s="1">
        <f t="shared" si="1032"/>
        <v>27.0577555788281</v>
      </c>
      <c r="I891" s="1">
        <f t="shared" si="1032"/>
        <v>19.55712571454012</v>
      </c>
      <c r="J891" s="1">
        <f t="shared" si="1032"/>
        <v>15.198880075302203</v>
      </c>
      <c r="K891" s="1">
        <f t="shared" si="1032"/>
        <v>12.209585644216778</v>
      </c>
      <c r="L891" s="1">
        <f t="shared" ref="L891" si="1033">L890</f>
        <v>5.2086977130874663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4">G893</f>
        <v>0</v>
      </c>
      <c r="H892">
        <f t="shared" si="1034"/>
        <v>2.1385234244311305E-5</v>
      </c>
      <c r="I892">
        <f t="shared" si="1034"/>
        <v>6.5950739768542421E-5</v>
      </c>
      <c r="J892">
        <f t="shared" si="1034"/>
        <v>7.089182614505388E-5</v>
      </c>
      <c r="K892">
        <f t="shared" si="1034"/>
        <v>2.621221296717016E-5</v>
      </c>
      <c r="L892">
        <f t="shared" si="1034"/>
        <v>1.7914894244569983E-5</v>
      </c>
      <c r="N892" s="1"/>
    </row>
    <row r="893" spans="2:14" x14ac:dyDescent="0.35">
      <c r="B893" s="5" t="str">
        <f t="shared" si="1026"/>
        <v>SPS1</v>
      </c>
      <c r="C893" s="5" t="str">
        <f t="shared" si="102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2.1385234244311305E-5</v>
      </c>
      <c r="I893">
        <f>[1]Services!E$13</f>
        <v>6.5950739768542421E-5</v>
      </c>
      <c r="J893">
        <f>[2]Services!F$13</f>
        <v>7.089182614505388E-5</v>
      </c>
      <c r="K893">
        <f>[2]Services!G$13</f>
        <v>2.621221296717016E-5</v>
      </c>
      <c r="L893">
        <f>[2]Services!H$13</f>
        <v>1.7914894244569983E-5</v>
      </c>
      <c r="N893" s="1"/>
    </row>
    <row r="894" spans="2:14" x14ac:dyDescent="0.35">
      <c r="B894" s="5" t="str">
        <f t="shared" si="1026"/>
        <v>SPS1</v>
      </c>
      <c r="C894" s="5" t="str">
        <f t="shared" si="1027"/>
        <v>CH</v>
      </c>
      <c r="D894" t="s">
        <v>501</v>
      </c>
      <c r="E894" t="s">
        <v>8</v>
      </c>
      <c r="F894" s="1">
        <f>SUM(F895:F897)</f>
        <v>26.950966524901734</v>
      </c>
      <c r="G894" s="1">
        <f t="shared" ref="G894:K894" si="1035">SUM(G895:G897)</f>
        <v>28.287007728856452</v>
      </c>
      <c r="H894" s="1">
        <f t="shared" si="1035"/>
        <v>25.818702700216036</v>
      </c>
      <c r="I894" s="1">
        <f t="shared" si="1035"/>
        <v>24.445505852797098</v>
      </c>
      <c r="J894" s="1">
        <f t="shared" si="1035"/>
        <v>22.326910713264542</v>
      </c>
      <c r="K894" s="1">
        <f t="shared" si="1035"/>
        <v>19.99439120641626</v>
      </c>
      <c r="L894" s="1">
        <f t="shared" ref="L894" si="1036">SUM(L895:L897)</f>
        <v>16.448631010629384</v>
      </c>
      <c r="N894" s="1"/>
    </row>
    <row r="895" spans="2:14" x14ac:dyDescent="0.35">
      <c r="B895" s="5" t="str">
        <f t="shared" si="1026"/>
        <v>SPS1</v>
      </c>
      <c r="C895" s="5" t="str">
        <f t="shared" si="1027"/>
        <v>CH</v>
      </c>
      <c r="D895" t="s">
        <v>681</v>
      </c>
      <c r="E895" t="s">
        <v>8</v>
      </c>
      <c r="F895" s="1">
        <f>SUM([1]Services!B$14:B$15)-F896</f>
        <v>25.54868764787135</v>
      </c>
      <c r="G895" s="1">
        <f>SUM([1]Services!C$14:C$15)</f>
        <v>26.749781828078916</v>
      </c>
      <c r="H895" s="1">
        <f>SUM([1]Services!D$14:D$15)</f>
        <v>24.916433427650961</v>
      </c>
      <c r="I895" s="1">
        <f>SUM([1]Services!E$14:E$15)</f>
        <v>22.683640239626364</v>
      </c>
      <c r="J895" s="1">
        <f>SUM([2]Services!F$14:F$15)</f>
        <v>19.925594463129201</v>
      </c>
      <c r="K895" s="1">
        <f>SUM([2]Services!G$14:G$15)</f>
        <v>17.046882652852549</v>
      </c>
      <c r="L895" s="1">
        <f>SUM([2]Services!H$14:H$15)</f>
        <v>12.353891046685131</v>
      </c>
      <c r="N895" s="1"/>
    </row>
    <row r="896" spans="2:14" x14ac:dyDescent="0.35">
      <c r="B896" s="5" t="str">
        <f t="shared" ref="B896" si="1037">B895</f>
        <v>SPS1</v>
      </c>
      <c r="C896" s="5" t="str">
        <f t="shared" ref="C896" si="103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0.90226927256507528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1.7618656131707353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2.4013162501353409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2.9475085535637122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4.0947399639442512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1.4022788770303827</v>
      </c>
      <c r="G897" s="1">
        <f>[1]Services!C$16</f>
        <v>1.5372259007775346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6"/>
        <v>SPS1</v>
      </c>
      <c r="C898" s="5" t="str">
        <f t="shared" si="1027"/>
        <v>CH</v>
      </c>
      <c r="D898" t="s">
        <v>966</v>
      </c>
      <c r="E898" t="s">
        <v>8</v>
      </c>
      <c r="F898" s="1">
        <f>[1]Services!B$14</f>
        <v>25.260291123940856</v>
      </c>
      <c r="G898" s="1">
        <f>[1]Services!C$14</f>
        <v>24.977783818816171</v>
      </c>
      <c r="H898" s="1">
        <f>[1]Services!D$14</f>
        <v>24.453278760161044</v>
      </c>
      <c r="I898" s="1">
        <f>[1]Services!E$14</f>
        <v>22.682945914576919</v>
      </c>
      <c r="J898" s="1">
        <f>[2]Services!F$14</f>
        <v>19.925471805804222</v>
      </c>
      <c r="K898" s="1">
        <f>[2]Services!G$14</f>
        <v>17.046868788855587</v>
      </c>
      <c r="L898" s="1">
        <f>[2]Services!H$14</f>
        <v>12.353858501168169</v>
      </c>
      <c r="N898" s="1"/>
    </row>
    <row r="899" spans="2:14" x14ac:dyDescent="0.35">
      <c r="B899" s="5" t="str">
        <f t="shared" si="1026"/>
        <v>SPS1</v>
      </c>
      <c r="C899" s="5" t="str">
        <f t="shared" si="1027"/>
        <v>CH</v>
      </c>
      <c r="D899" t="s">
        <v>682</v>
      </c>
      <c r="E899" t="s">
        <v>8</v>
      </c>
      <c r="F899" s="1">
        <f>[1]Services!B$14*IFERROR(F895/SUM(F895:F896),0)</f>
        <v>25.260291123940856</v>
      </c>
      <c r="G899" s="1">
        <f>[1]Services!C$14*IFERROR(G895/SUM(G895:G896),0)</f>
        <v>24.977783818816171</v>
      </c>
      <c r="H899" s="1">
        <f>[1]Services!D$14*IFERROR(H895/SUM(H895:H896),0)</f>
        <v>23.598726062647824</v>
      </c>
      <c r="I899" s="1">
        <f>[1]Services!E$14*IFERROR(I895/SUM(I895:I896),0)</f>
        <v>21.048113620536586</v>
      </c>
      <c r="J899" s="1">
        <f>[2]Services!F$14*IFERROR(J895/SUM(J895:J896),0)</f>
        <v>17.782436441289377</v>
      </c>
      <c r="K899" s="1">
        <f>[2]Services!G$14*IFERROR(K895/SUM(K895:K896),0)</f>
        <v>14.53387446720272</v>
      </c>
      <c r="L899" s="1">
        <f>[2]Services!H$14*IFERROR(L895/SUM(L895:L896),0)</f>
        <v>9.2784756269972828</v>
      </c>
      <c r="N899" s="1"/>
    </row>
    <row r="900" spans="2:14" x14ac:dyDescent="0.35">
      <c r="B900" s="5" t="str">
        <f>B899</f>
        <v>SPS1</v>
      </c>
      <c r="C900" s="5" t="str">
        <f t="shared" ref="C900" si="103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0">G898-G899</f>
        <v>0</v>
      </c>
      <c r="H900" s="1">
        <f t="shared" si="1040"/>
        <v>0.85455269751322049</v>
      </c>
      <c r="I900" s="1">
        <f t="shared" si="1040"/>
        <v>1.6348322940403328</v>
      </c>
      <c r="J900" s="1">
        <f t="shared" si="1040"/>
        <v>2.1430353645148443</v>
      </c>
      <c r="K900" s="1">
        <f t="shared" si="1040"/>
        <v>2.512994321652867</v>
      </c>
      <c r="L900" s="1">
        <f t="shared" ref="L900" si="1041">L898-L899</f>
        <v>3.0753828741708862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1.6906754009608764</v>
      </c>
      <c r="G901" s="1">
        <f>[1]Services!C$15+G904</f>
        <v>3.3092239100402807</v>
      </c>
      <c r="H901" s="1">
        <f>[1]Services!D$15+H904</f>
        <v>0.46315466748991557</v>
      </c>
      <c r="I901" s="1">
        <f>[1]Services!E$15+I904</f>
        <v>6.9432504944597865E-4</v>
      </c>
      <c r="J901" s="1">
        <f>[2]Services!F$15+J904</f>
        <v>1.2265732498110038E-4</v>
      </c>
      <c r="K901" s="1">
        <f>[2]Services!G$15+K904</f>
        <v>1.3863996962167729E-5</v>
      </c>
      <c r="L901" s="1">
        <f>[2]Services!H$15+L904</f>
        <v>3.2545516962728072E-5</v>
      </c>
      <c r="N901" s="1"/>
    </row>
    <row r="902" spans="2:14" x14ac:dyDescent="0.35">
      <c r="B902" s="5" t="str">
        <f t="shared" si="1026"/>
        <v>SPS1</v>
      </c>
      <c r="C902" s="5" t="str">
        <f t="shared" si="1027"/>
        <v>CH</v>
      </c>
      <c r="D902" t="s">
        <v>683</v>
      </c>
      <c r="E902" t="s">
        <v>8</v>
      </c>
      <c r="F902" s="1">
        <f>[1]Services!B$15*F895/SUM(F895:F896)</f>
        <v>0.28839652393049381</v>
      </c>
      <c r="G902" s="1">
        <f>[1]Services!C$15*G895/SUM(G895:G896)</f>
        <v>1.7719980092627461</v>
      </c>
      <c r="H902" s="1">
        <f>[1]Services!D$15*H895/SUM(H895:H896)</f>
        <v>0.44696910504034487</v>
      </c>
      <c r="I902" s="1">
        <f>[1]Services!E$15*I895/SUM(I895:I896)</f>
        <v>6.4428282751985866E-4</v>
      </c>
      <c r="J902" s="1">
        <f>[2]Services!F$15*J895/SUM(J895:J896)</f>
        <v>1.0946521652248318E-4</v>
      </c>
      <c r="K902" s="1">
        <f>[2]Services!G$15*K895/SUM(K895:K896)</f>
        <v>1.1820211321949924E-5</v>
      </c>
      <c r="L902" s="1">
        <f>[2]Services!H$15*L895/SUM(L895:L896)</f>
        <v>2.4443600829501551E-5</v>
      </c>
      <c r="N902" s="1"/>
    </row>
    <row r="903" spans="2:14" x14ac:dyDescent="0.35">
      <c r="B903" s="5" t="str">
        <f>B902</f>
        <v>SPS1</v>
      </c>
      <c r="C903" s="5" t="str">
        <f t="shared" ref="C903" si="104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1.6185562449570666E-2</v>
      </c>
      <c r="I903" s="1">
        <f>[1]Services!E$15*I896/SUM(I895:I896)</f>
        <v>5.0042221926120106E-5</v>
      </c>
      <c r="J903" s="1">
        <f>[2]Services!F$15*J896/SUM(J895:J896)</f>
        <v>1.3192108458617187E-5</v>
      </c>
      <c r="K903" s="1">
        <f>[2]Services!G$15*K896/SUM(K895:K896)</f>
        <v>2.043785640217805E-6</v>
      </c>
      <c r="L903" s="1">
        <f>[2]Services!H$15*L896/SUM(L895:L896)</f>
        <v>8.1019161332265138E-6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1.4022788770303827</v>
      </c>
      <c r="G904" s="1">
        <f>[1]Services!C$16</f>
        <v>1.5372259007775346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7.7268858741017405</v>
      </c>
      <c r="G905" s="1">
        <f>[1]Services!C$17</f>
        <v>8.3696933978694918</v>
      </c>
      <c r="H905" s="1">
        <f>[1]Services!D$17</f>
        <v>5.9892066213564963</v>
      </c>
      <c r="I905" s="1">
        <f>[1]Services!E$17</f>
        <v>6.9909215167352032</v>
      </c>
      <c r="J905" s="1">
        <f>[2]Services!F$17</f>
        <v>7.6331252036777171</v>
      </c>
      <c r="K905" s="1">
        <f>[2]Services!G$17</f>
        <v>7.976402177207234</v>
      </c>
      <c r="L905" s="1">
        <f>[2]Services!H$17</f>
        <v>8.4877192592780926</v>
      </c>
      <c r="N905" s="1"/>
    </row>
    <row r="906" spans="2:14" x14ac:dyDescent="0.35">
      <c r="B906" s="5" t="str">
        <f t="shared" si="1026"/>
        <v>SPS1</v>
      </c>
      <c r="C906" s="5" t="str">
        <f t="shared" si="1027"/>
        <v>CH</v>
      </c>
      <c r="D906" t="s">
        <v>969</v>
      </c>
      <c r="E906" t="s">
        <v>8</v>
      </c>
      <c r="F906" s="1">
        <f>[1]Services!B$51/0.99</f>
        <v>2.1168845226241064</v>
      </c>
      <c r="G906" s="1">
        <f>[1]Services!C$51/0.99</f>
        <v>2.2929903377903633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6"/>
        <v>SPS1</v>
      </c>
      <c r="C907" s="5" t="str">
        <f t="shared" si="1027"/>
        <v>CH</v>
      </c>
      <c r="D907" t="s">
        <v>507</v>
      </c>
      <c r="E907" t="s">
        <v>8</v>
      </c>
      <c r="F907" s="1">
        <f>IF(F906-SUM(F908:F911)&lt;0,0,F906-SUM(F908:F911))</f>
        <v>1.4243080346981665</v>
      </c>
      <c r="G907" s="1">
        <f t="shared" ref="G907:L907" si="1043">IF(G906-SUM(G908:G911)&lt;0,0,G906-SUM(G908:G911))</f>
        <v>1.5542373109071335</v>
      </c>
      <c r="H907" s="1">
        <f t="shared" si="1043"/>
        <v>0</v>
      </c>
      <c r="I907" s="1">
        <f t="shared" si="1043"/>
        <v>0</v>
      </c>
      <c r="J907" s="1">
        <f t="shared" si="1043"/>
        <v>0</v>
      </c>
      <c r="K907" s="1">
        <f t="shared" si="1043"/>
        <v>0</v>
      </c>
      <c r="L907" s="1">
        <f t="shared" si="1043"/>
        <v>0</v>
      </c>
      <c r="N907" s="1"/>
    </row>
    <row r="908" spans="2:14" x14ac:dyDescent="0.35">
      <c r="B908" s="5" t="str">
        <f t="shared" si="1026"/>
        <v>SPS1</v>
      </c>
      <c r="C908" s="5" t="str">
        <f t="shared" si="1027"/>
        <v>CH</v>
      </c>
      <c r="D908" t="s">
        <v>503</v>
      </c>
      <c r="E908" t="s">
        <v>8</v>
      </c>
      <c r="F908" s="1">
        <f t="shared" ref="F908:L908" si="1044">F249*F906/SUM(F248:F250)</f>
        <v>0.69257648792593984</v>
      </c>
      <c r="G908" s="1">
        <f t="shared" si="1044"/>
        <v>0.73875302688322975</v>
      </c>
      <c r="H908" s="1">
        <f t="shared" si="1044"/>
        <v>0</v>
      </c>
      <c r="I908" s="1">
        <f t="shared" si="1044"/>
        <v>0</v>
      </c>
      <c r="J908" s="1">
        <f t="shared" si="1044"/>
        <v>0</v>
      </c>
      <c r="K908" s="1">
        <f t="shared" si="1044"/>
        <v>0</v>
      </c>
      <c r="L908" s="1">
        <f t="shared" si="1044"/>
        <v>0</v>
      </c>
      <c r="N908" s="1"/>
    </row>
    <row r="909" spans="2:14" x14ac:dyDescent="0.35">
      <c r="B909" s="5" t="str">
        <f t="shared" si="1026"/>
        <v>SPS1</v>
      </c>
      <c r="C909" s="5" t="str">
        <f t="shared" si="102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5">H250*H906/SUM(H248:H250)</f>
        <v>0</v>
      </c>
      <c r="I909" s="1">
        <f t="shared" si="1045"/>
        <v>0</v>
      </c>
      <c r="J909" s="1">
        <f t="shared" si="1045"/>
        <v>0</v>
      </c>
      <c r="K909" s="1">
        <f t="shared" si="1045"/>
        <v>0</v>
      </c>
      <c r="L909" s="1">
        <f t="shared" ref="L909" si="1046">L250*L906/SUM(L248:L250)</f>
        <v>0</v>
      </c>
      <c r="N909" s="1"/>
    </row>
    <row r="910" spans="2:14" x14ac:dyDescent="0.35">
      <c r="B910" s="5" t="str">
        <f t="shared" si="1026"/>
        <v>SPS1</v>
      </c>
      <c r="C910" s="5" t="str">
        <f t="shared" si="102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7">G287*G906/SUM(G248:G250)</f>
        <v>0</v>
      </c>
      <c r="H910" s="1">
        <f t="shared" si="1047"/>
        <v>0</v>
      </c>
      <c r="I910" s="1">
        <f t="shared" si="1047"/>
        <v>0</v>
      </c>
      <c r="J910" s="1">
        <f t="shared" si="1047"/>
        <v>0</v>
      </c>
      <c r="K910" s="1">
        <f t="shared" si="1047"/>
        <v>0</v>
      </c>
      <c r="L910" s="1">
        <f t="shared" ref="L910" si="1048">L287*L906/SUM(L248:L250)</f>
        <v>0</v>
      </c>
      <c r="N910" s="1"/>
    </row>
    <row r="911" spans="2:14" x14ac:dyDescent="0.35">
      <c r="B911" s="5" t="str">
        <f t="shared" si="1026"/>
        <v>SPS1</v>
      </c>
      <c r="C911" s="5" t="str">
        <f t="shared" si="1027"/>
        <v>CH</v>
      </c>
      <c r="D911" t="s">
        <v>506</v>
      </c>
      <c r="E911" t="s">
        <v>8</v>
      </c>
      <c r="F911" s="1">
        <f t="shared" ref="F911:K911" si="1049">F290</f>
        <v>0</v>
      </c>
      <c r="G911" s="1">
        <f t="shared" si="1049"/>
        <v>0</v>
      </c>
      <c r="H911" s="1">
        <f t="shared" si="1049"/>
        <v>0</v>
      </c>
      <c r="I911" s="1">
        <f t="shared" si="1049"/>
        <v>0</v>
      </c>
      <c r="J911" s="1">
        <f t="shared" si="1049"/>
        <v>0</v>
      </c>
      <c r="K911" s="1">
        <f t="shared" si="1049"/>
        <v>0</v>
      </c>
      <c r="L911" s="1">
        <f t="shared" ref="L911" si="1050">L290</f>
        <v>0</v>
      </c>
      <c r="N911" s="1"/>
    </row>
    <row r="912" spans="2:14" x14ac:dyDescent="0.35">
      <c r="B912" s="5" t="str">
        <f t="shared" si="1026"/>
        <v>SPS1</v>
      </c>
      <c r="C912" s="5" t="str">
        <f t="shared" si="1027"/>
        <v>CH</v>
      </c>
      <c r="D912" t="s">
        <v>970</v>
      </c>
      <c r="E912" t="s">
        <v>8</v>
      </c>
      <c r="F912" s="1">
        <f>F905-F906</f>
        <v>5.6100013514776341</v>
      </c>
      <c r="G912" s="1">
        <f t="shared" ref="G912:K912" si="1051">G905-G906</f>
        <v>6.0767030600791285</v>
      </c>
      <c r="H912" s="1">
        <f t="shared" si="1051"/>
        <v>5.9892066213564963</v>
      </c>
      <c r="I912" s="1">
        <f t="shared" si="1051"/>
        <v>6.9909215167352032</v>
      </c>
      <c r="J912" s="1">
        <f t="shared" si="1051"/>
        <v>7.6331252036777171</v>
      </c>
      <c r="K912" s="1">
        <f t="shared" si="1051"/>
        <v>7.976402177207234</v>
      </c>
      <c r="L912" s="1">
        <f t="shared" ref="L912" si="1052">L905-L906</f>
        <v>8.4877192592780926</v>
      </c>
      <c r="N912" s="1"/>
    </row>
    <row r="913" spans="2:14" x14ac:dyDescent="0.35">
      <c r="B913" s="5" t="str">
        <f t="shared" si="1026"/>
        <v>SPS1</v>
      </c>
      <c r="C913" s="5" t="str">
        <f t="shared" si="1027"/>
        <v>CH</v>
      </c>
      <c r="D913" t="s">
        <v>971</v>
      </c>
      <c r="E913" t="s">
        <v>8</v>
      </c>
      <c r="F913" s="1">
        <f>F914</f>
        <v>8.5743688934399689</v>
      </c>
      <c r="G913" s="1">
        <f t="shared" ref="G913:L913" si="1053">G914</f>
        <v>9.5565744194355364</v>
      </c>
      <c r="H913" s="1">
        <f t="shared" si="1053"/>
        <v>9.1019400082607795</v>
      </c>
      <c r="I913" s="1">
        <f t="shared" si="1053"/>
        <v>9.2582715634484316</v>
      </c>
      <c r="J913" s="1">
        <f t="shared" si="1053"/>
        <v>8.623521231914042</v>
      </c>
      <c r="K913" s="1">
        <f t="shared" si="1053"/>
        <v>7.8969857754743131</v>
      </c>
      <c r="L913" s="1">
        <f t="shared" si="1053"/>
        <v>6.8754694810003105</v>
      </c>
      <c r="N913" s="1"/>
    </row>
    <row r="914" spans="2:14" x14ac:dyDescent="0.35">
      <c r="B914" s="5" t="str">
        <f t="shared" si="1026"/>
        <v>SPS1</v>
      </c>
      <c r="C914" s="5" t="str">
        <f t="shared" si="102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8.5743688934399689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9.5565744194355364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9.1019400082607795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9.2582715634484316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8.623521231914042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7.8969857754743131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6.8754694810003105</v>
      </c>
      <c r="N914" s="1"/>
    </row>
    <row r="915" spans="2:14" x14ac:dyDescent="0.35">
      <c r="B915" s="5" t="str">
        <f t="shared" si="1026"/>
        <v>SPS1</v>
      </c>
      <c r="C915" s="5" t="str">
        <f t="shared" si="1027"/>
        <v>CH</v>
      </c>
      <c r="D915" t="s">
        <v>973</v>
      </c>
      <c r="E915" t="s">
        <v>8</v>
      </c>
      <c r="F915" s="1">
        <f>F916</f>
        <v>2.0856350343101524</v>
      </c>
      <c r="G915" s="1">
        <f t="shared" ref="G915:L915" si="1054">G916</f>
        <v>2.4000923132040493</v>
      </c>
      <c r="H915" s="1">
        <f t="shared" si="1054"/>
        <v>0.63650852920184731</v>
      </c>
      <c r="I915" s="1">
        <f t="shared" si="1054"/>
        <v>1.0634489422894986</v>
      </c>
      <c r="J915" s="1">
        <f t="shared" si="1054"/>
        <v>1.2909842455945253</v>
      </c>
      <c r="K915" s="1">
        <f t="shared" si="1054"/>
        <v>1.5136728068811154</v>
      </c>
      <c r="L915" s="1">
        <f t="shared" si="1054"/>
        <v>1.8537007464508497</v>
      </c>
      <c r="N915" s="1"/>
    </row>
    <row r="916" spans="2:14" x14ac:dyDescent="0.35">
      <c r="B916" s="5" t="str">
        <f t="shared" si="1026"/>
        <v>SPS1</v>
      </c>
      <c r="C916" s="5" t="str">
        <f t="shared" si="102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2.0856350343101524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2.4000923132040493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0.63650852920184731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1.0634489422894986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1.2909842455945253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1.5136728068811154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1.8537007464508497</v>
      </c>
      <c r="N916" s="1"/>
    </row>
    <row r="917" spans="2:14" x14ac:dyDescent="0.35">
      <c r="B917" s="5" t="str">
        <f t="shared" si="1026"/>
        <v>SPS1</v>
      </c>
      <c r="C917" s="5" t="str">
        <f t="shared" si="1027"/>
        <v>CH</v>
      </c>
      <c r="D917" t="s">
        <v>975</v>
      </c>
      <c r="E917" t="s">
        <v>8</v>
      </c>
      <c r="F917" s="1">
        <f>F918</f>
        <v>0.62699637824958021</v>
      </c>
      <c r="G917" s="1">
        <f t="shared" ref="G917:L917" si="1055">G918</f>
        <v>0.68733688927713943</v>
      </c>
      <c r="H917" s="1">
        <f t="shared" si="1055"/>
        <v>0.52379311326975142</v>
      </c>
      <c r="I917" s="1">
        <f t="shared" si="1055"/>
        <v>0.61029278424826483</v>
      </c>
      <c r="J917" s="1">
        <f t="shared" si="1055"/>
        <v>0.68114586012641432</v>
      </c>
      <c r="K917" s="1">
        <f t="shared" si="1055"/>
        <v>0.73462659933055852</v>
      </c>
      <c r="L917" s="1">
        <f t="shared" si="1055"/>
        <v>0.87740687823161689</v>
      </c>
      <c r="N917" s="1"/>
    </row>
    <row r="918" spans="2:14" x14ac:dyDescent="0.35">
      <c r="B918" s="5" t="str">
        <f t="shared" si="1026"/>
        <v>SPS1</v>
      </c>
      <c r="C918" s="5" t="str">
        <f t="shared" si="1027"/>
        <v>CH</v>
      </c>
      <c r="D918" t="s">
        <v>976</v>
      </c>
      <c r="E918" t="s">
        <v>8</v>
      </c>
      <c r="F918" s="1">
        <f>[1]Services!B$19</f>
        <v>0.62699637824958021</v>
      </c>
      <c r="G918" s="1">
        <f>[1]Services!C$19</f>
        <v>0.68733688927713943</v>
      </c>
      <c r="H918" s="1">
        <f>[1]Services!D$19</f>
        <v>0.52379311326975142</v>
      </c>
      <c r="I918" s="1">
        <f>[1]Services!E$19</f>
        <v>0.61029278424826483</v>
      </c>
      <c r="J918" s="1">
        <f>[2]Services!F$19</f>
        <v>0.68114586012641432</v>
      </c>
      <c r="K918" s="1">
        <f>[2]Services!G$19</f>
        <v>0.73462659933055852</v>
      </c>
      <c r="L918" s="1">
        <f>[2]Services!H$19</f>
        <v>0.87740687823161689</v>
      </c>
      <c r="N918" s="1"/>
    </row>
    <row r="919" spans="2:14" x14ac:dyDescent="0.35">
      <c r="B919" s="5" t="str">
        <f t="shared" si="1026"/>
        <v>SPS1</v>
      </c>
      <c r="C919" s="5" t="str">
        <f t="shared" si="102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0</v>
      </c>
      <c r="K919" s="1">
        <f>[2]Services!G$20</f>
        <v>0</v>
      </c>
      <c r="L919" s="1">
        <f>[2]Services!H$20</f>
        <v>0</v>
      </c>
      <c r="N919" s="1"/>
    </row>
    <row r="920" spans="2:14" x14ac:dyDescent="0.35">
      <c r="B920" s="5" t="str">
        <f t="shared" si="1026"/>
        <v>SPS1</v>
      </c>
      <c r="C920" s="5" t="str">
        <f t="shared" si="102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6">G919-G921</f>
        <v>0</v>
      </c>
      <c r="H920" s="1">
        <f t="shared" si="1056"/>
        <v>0</v>
      </c>
      <c r="I920" s="1">
        <f t="shared" si="1056"/>
        <v>0</v>
      </c>
      <c r="J920" s="1">
        <f t="shared" si="1056"/>
        <v>0</v>
      </c>
      <c r="K920" s="1">
        <f t="shared" si="1056"/>
        <v>0</v>
      </c>
      <c r="L920" s="1">
        <f t="shared" ref="L920" si="1057">L919-L921</f>
        <v>0</v>
      </c>
      <c r="N920" s="1"/>
    </row>
    <row r="921" spans="2:14" x14ac:dyDescent="0.35">
      <c r="B921" s="5" t="str">
        <f t="shared" si="1026"/>
        <v>SPS1</v>
      </c>
      <c r="C921" s="5" t="str">
        <f t="shared" si="1027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8">G922</f>
        <v>0</v>
      </c>
      <c r="H921" s="1">
        <f t="shared" si="1058"/>
        <v>0</v>
      </c>
      <c r="I921" s="1">
        <f t="shared" si="1058"/>
        <v>0</v>
      </c>
      <c r="J921" s="1">
        <f t="shared" si="1058"/>
        <v>0</v>
      </c>
      <c r="K921" s="1">
        <f t="shared" si="1058"/>
        <v>0</v>
      </c>
      <c r="L921" s="1">
        <f t="shared" si="1058"/>
        <v>0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0</v>
      </c>
      <c r="K922" s="1">
        <f>[2]Services!G$20</f>
        <v>0</v>
      </c>
      <c r="L922" s="1">
        <f>[2]Services!H$20</f>
        <v>0</v>
      </c>
      <c r="N922" s="1"/>
    </row>
    <row r="923" spans="2:14" x14ac:dyDescent="0.35">
      <c r="B923" s="5" t="str">
        <f t="shared" si="1026"/>
        <v>SPS1</v>
      </c>
      <c r="C923" s="5" t="str">
        <f t="shared" si="1027"/>
        <v>CH</v>
      </c>
      <c r="D923" t="s">
        <v>979</v>
      </c>
      <c r="E923" t="s">
        <v>8</v>
      </c>
      <c r="F923" s="1">
        <f>F924</f>
        <v>2.9295877734153501</v>
      </c>
      <c r="G923" s="1">
        <f t="shared" ref="G923:L923" si="1059">G924</f>
        <v>3.1924505167333601</v>
      </c>
      <c r="H923" s="1">
        <f t="shared" si="1059"/>
        <v>3.0874378009613901</v>
      </c>
      <c r="I923" s="1">
        <f t="shared" si="1059"/>
        <v>5.028536970492226</v>
      </c>
      <c r="J923" s="1">
        <f t="shared" si="1059"/>
        <v>6.5997423517076594</v>
      </c>
      <c r="K923" s="1">
        <f t="shared" si="1059"/>
        <v>8.0960607352265406</v>
      </c>
      <c r="L923" s="1">
        <f t="shared" si="1059"/>
        <v>11.318034548304828</v>
      </c>
      <c r="N923" s="1"/>
    </row>
    <row r="924" spans="2:14" x14ac:dyDescent="0.35">
      <c r="B924" s="5" t="str">
        <f t="shared" si="1026"/>
        <v>SPS1</v>
      </c>
      <c r="C924" s="5" t="str">
        <f t="shared" si="1027"/>
        <v>CH</v>
      </c>
      <c r="D924" t="s">
        <v>980</v>
      </c>
      <c r="E924" t="s">
        <v>8</v>
      </c>
      <c r="F924" s="1">
        <f>[1]Services!B$21-F925</f>
        <v>2.9295877734153501</v>
      </c>
      <c r="G924" s="1">
        <f>[1]Services!C$21-G925</f>
        <v>3.1924505167333601</v>
      </c>
      <c r="H924" s="1">
        <f>[1]Services!D$21-H925</f>
        <v>3.0874378009613901</v>
      </c>
      <c r="I924" s="1">
        <f>[1]Services!E$21-I925</f>
        <v>5.028536970492226</v>
      </c>
      <c r="J924" s="1">
        <f>[2]Services!F$21-J925</f>
        <v>6.5997423517076594</v>
      </c>
      <c r="K924" s="1">
        <f>[2]Services!G$21-K925</f>
        <v>8.0960607352265406</v>
      </c>
      <c r="L924" s="1">
        <f>[2]Services!H$21-L925</f>
        <v>11.318034548304828</v>
      </c>
      <c r="N924" s="1"/>
    </row>
    <row r="925" spans="2:14" x14ac:dyDescent="0.35">
      <c r="B925" s="5" t="str">
        <f t="shared" ref="B925" si="1060">B924</f>
        <v>SPS1</v>
      </c>
      <c r="C925" s="5" t="str">
        <f t="shared" ref="C925" si="1061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0.81943404798465858</v>
      </c>
      <c r="I925" s="1">
        <f>[1]Services!E$50-I896</f>
        <v>1.6918250643886221</v>
      </c>
      <c r="J925" s="1">
        <f>[2]Services!F$50-J896</f>
        <v>2.4080514421427952</v>
      </c>
      <c r="K925" s="1">
        <f>[2]Services!G$50-K896</f>
        <v>3.0631591736588151</v>
      </c>
      <c r="L925" s="1">
        <f>[2]Services!H$50-L896</f>
        <v>4.5630929017895312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73.238343219695921</v>
      </c>
      <c r="G926" s="17">
        <f>[1]Services!C$59</f>
        <v>78.573914998127819</v>
      </c>
      <c r="H926" s="17">
        <f>[1]Services!D$59</f>
        <v>63.321895988711674</v>
      </c>
      <c r="I926" s="17">
        <f>[1]Services!E$59</f>
        <v>62.691426460253616</v>
      </c>
      <c r="J926" s="17">
        <f>[2]Services!F$59</f>
        <v>61.924953265286476</v>
      </c>
      <c r="K926" s="17">
        <f>[2]Services!G$59</f>
        <v>61.439071951485744</v>
      </c>
      <c r="L926" s="17">
        <f>[2]Services!H$59</f>
        <v>60.762643920768298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63.650035100784869</v>
      </c>
      <c r="G927" s="1">
        <f t="shared" ref="G927:K927" si="1062">SUM(G928:G930)</f>
        <v>63.909957910172039</v>
      </c>
      <c r="H927" s="1">
        <f t="shared" si="1062"/>
        <v>63.802747761829636</v>
      </c>
      <c r="I927" s="1">
        <f t="shared" si="1062"/>
        <v>66.382032654559623</v>
      </c>
      <c r="J927" s="1">
        <f t="shared" si="1062"/>
        <v>68.844448749468313</v>
      </c>
      <c r="K927" s="1">
        <f t="shared" si="1062"/>
        <v>70.551107466679795</v>
      </c>
      <c r="L927" s="1">
        <f t="shared" ref="L927" si="1063">SUM(L928:L930)</f>
        <v>73.450725103103409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2.3940419463591907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0.59041170540653587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0.5219560555862538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0.35445132815298386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0.28976652709948386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0.26295495345759562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0.19422979940076948</v>
      </c>
      <c r="N928" s="1"/>
    </row>
    <row r="929" spans="2:14" x14ac:dyDescent="0.35">
      <c r="B929" s="5" t="str">
        <f t="shared" ref="B929:B932" si="1064">B928</f>
        <v>SPS1</v>
      </c>
      <c r="C929" s="5" t="str">
        <f t="shared" ref="C929:C932" si="1065">C928</f>
        <v>CH</v>
      </c>
      <c r="D929" t="s">
        <v>729</v>
      </c>
      <c r="E929" t="s">
        <v>8</v>
      </c>
      <c r="F929" s="1">
        <f>[1]Services!B$47</f>
        <v>4.2612185795132396</v>
      </c>
      <c r="G929" s="1">
        <f>[1]Services!C$47</f>
        <v>4.6176516402750387</v>
      </c>
      <c r="H929" s="1">
        <f>[1]Services!D$47</f>
        <v>4.7664917213640079</v>
      </c>
      <c r="I929" s="1">
        <f>[1]Services!E$47</f>
        <v>7.5118334938063009</v>
      </c>
      <c r="J929" s="1">
        <f>[2]Services!F$47</f>
        <v>9.6814528450133963</v>
      </c>
      <c r="K929" s="1">
        <f>[2]Services!G$47</f>
        <v>11.706592195175997</v>
      </c>
      <c r="L929" s="1">
        <f>[2]Services!H$47</f>
        <v>15.908564628538544</v>
      </c>
      <c r="N929" s="1"/>
    </row>
    <row r="930" spans="2:14" x14ac:dyDescent="0.35">
      <c r="B930" s="5" t="str">
        <f t="shared" si="1064"/>
        <v>SPS1</v>
      </c>
      <c r="C930" s="5" t="str">
        <f t="shared" si="1065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58.701894564490466</v>
      </c>
      <c r="H930" s="1">
        <f>[1]Services!D$3-([1]Services!D$6-[1]Services!D$58)</f>
        <v>58.514299984879372</v>
      </c>
      <c r="I930" s="1">
        <f>[1]Services!E$3-([1]Services!E$6-[1]Services!E$58)</f>
        <v>58.51574783260034</v>
      </c>
      <c r="J930" s="1">
        <f>[2]Services!F$3-([2]Services!F$6-[2]Services!F$58)</f>
        <v>58.873229377355429</v>
      </c>
      <c r="K930" s="1">
        <f>[2]Services!G$3-([2]Services!G$6-[2]Services!G$58)</f>
        <v>58.581560318046208</v>
      </c>
      <c r="L930" s="1">
        <f>[2]Services!H$3-([2]Services!H$6-[2]Services!H$58)</f>
        <v>57.3479306751641</v>
      </c>
      <c r="N930" s="1"/>
    </row>
    <row r="931" spans="2:14" x14ac:dyDescent="0.35">
      <c r="B931" s="5" t="str">
        <f t="shared" si="1064"/>
        <v>SPS1</v>
      </c>
      <c r="C931" s="5" t="str">
        <f t="shared" si="1065"/>
        <v>CH</v>
      </c>
      <c r="D931" t="s">
        <v>1040</v>
      </c>
      <c r="E931" t="s">
        <v>8</v>
      </c>
      <c r="F931" s="1">
        <f>F932</f>
        <v>24.843069628867219</v>
      </c>
      <c r="G931" s="1">
        <f t="shared" ref="G931:L931" si="1066">G932</f>
        <v>21.719700361978994</v>
      </c>
      <c r="H931" s="1">
        <f t="shared" si="1066"/>
        <v>21.493883801556422</v>
      </c>
      <c r="I931" s="1">
        <f t="shared" si="1066"/>
        <v>15.849715032645875</v>
      </c>
      <c r="J931" s="1">
        <f t="shared" si="1066"/>
        <v>12.42457950936369</v>
      </c>
      <c r="K931" s="1">
        <f t="shared" si="1066"/>
        <v>9.9809054991209365</v>
      </c>
      <c r="L931" s="1">
        <f t="shared" si="1066"/>
        <v>4.2579321165973321</v>
      </c>
      <c r="N931" s="1"/>
    </row>
    <row r="932" spans="2:14" x14ac:dyDescent="0.35">
      <c r="B932" s="5" t="str">
        <f t="shared" si="1064"/>
        <v>SPS1</v>
      </c>
      <c r="C932" s="5" t="str">
        <f t="shared" si="1065"/>
        <v>CH</v>
      </c>
      <c r="D932" t="s">
        <v>1041</v>
      </c>
      <c r="E932" t="s">
        <v>8</v>
      </c>
      <c r="F932" s="1">
        <f>[1]Services!B$48</f>
        <v>24.843069628867219</v>
      </c>
      <c r="G932" s="1">
        <f>[1]Services!C$48</f>
        <v>21.719700361978994</v>
      </c>
      <c r="H932" s="1">
        <f>[1]Services!D$48</f>
        <v>21.493883801556422</v>
      </c>
      <c r="I932" s="1">
        <f>[1]Services!E$48</f>
        <v>15.849715032645875</v>
      </c>
      <c r="J932" s="1">
        <f>[2]Services!F$48</f>
        <v>12.42457950936369</v>
      </c>
      <c r="K932" s="1">
        <f>[2]Services!G$48</f>
        <v>9.9809054991209365</v>
      </c>
      <c r="L932" s="1">
        <f>[2]Services!H$48</f>
        <v>4.2579321165973321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25.412782537190044</v>
      </c>
      <c r="G933" s="1">
        <f t="shared" ref="G933:K933" si="1067">SUM(G934:G936)</f>
        <v>26.667689523200995</v>
      </c>
      <c r="H933" s="1">
        <f t="shared" si="1067"/>
        <v>22.268745844448333</v>
      </c>
      <c r="I933" s="1">
        <f t="shared" si="1067"/>
        <v>21.528865693104763</v>
      </c>
      <c r="J933" s="1">
        <f t="shared" si="1067"/>
        <v>19.974855028503161</v>
      </c>
      <c r="K933" s="1">
        <f t="shared" si="1067"/>
        <v>18.212247544239936</v>
      </c>
      <c r="L933" s="1">
        <f t="shared" ref="L933" si="1068">SUM(L934:L936)</f>
        <v>15.805291359082906</v>
      </c>
      <c r="N933" s="1"/>
    </row>
    <row r="934" spans="2:14" x14ac:dyDescent="0.35">
      <c r="B934" s="5" t="str">
        <f t="shared" ref="B934:B953" si="1069">B933</f>
        <v>SPS1</v>
      </c>
      <c r="C934" s="5" t="str">
        <f t="shared" ref="C934:C953" si="1070">C933</f>
        <v>CH</v>
      </c>
      <c r="D934" t="s">
        <v>1043</v>
      </c>
      <c r="E934" t="s">
        <v>8</v>
      </c>
      <c r="F934" s="1">
        <f>[1]Services!B$49</f>
        <v>24.189714900644145</v>
      </c>
      <c r="G934" s="1">
        <f>[1]Services!C$49</f>
        <v>25.326921092542829</v>
      </c>
      <c r="H934" s="1">
        <f>[1]Services!D$49</f>
        <v>20.5470425238986</v>
      </c>
      <c r="I934" s="1">
        <f>[1]Services!E$49</f>
        <v>18.075175015545405</v>
      </c>
      <c r="J934" s="1">
        <f>[2]Services!F$49</f>
        <v>15.165487336225024</v>
      </c>
      <c r="K934" s="1">
        <f>[2]Services!G$49</f>
        <v>12.201579817017411</v>
      </c>
      <c r="L934" s="1">
        <f>[2]Services!H$49</f>
        <v>7.1474584933491236</v>
      </c>
      <c r="N934" s="1"/>
    </row>
    <row r="935" spans="2:14" x14ac:dyDescent="0.35">
      <c r="B935" s="5" t="str">
        <f t="shared" ref="B935" si="1071">B934</f>
        <v>SPS1</v>
      </c>
      <c r="C935" s="5" t="str">
        <f t="shared" ref="C935" si="1072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1.7217033205497339</v>
      </c>
      <c r="I935" s="1">
        <f>[1]Services!E$50</f>
        <v>3.4536906775593574</v>
      </c>
      <c r="J935" s="1">
        <f>[2]Services!F$50</f>
        <v>4.8093676922781361</v>
      </c>
      <c r="K935" s="1">
        <f>[2]Services!G$50</f>
        <v>6.0106677272225273</v>
      </c>
      <c r="L935" s="1">
        <f>[2]Services!H$50</f>
        <v>8.6578328657337824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1.2230676365458992</v>
      </c>
      <c r="G936" s="1">
        <f>[1]Services!C$56</f>
        <v>1.340768430658166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69"/>
        <v>SPS1</v>
      </c>
      <c r="C937" s="5" t="str">
        <f t="shared" si="1070"/>
        <v>CH</v>
      </c>
      <c r="D937" t="s">
        <v>983</v>
      </c>
      <c r="E937" t="s">
        <v>8</v>
      </c>
      <c r="F937" s="1">
        <f>F938+F944</f>
        <v>7.6496170153607226</v>
      </c>
      <c r="G937" s="1">
        <f t="shared" ref="G937:K937" si="1073">G938+G944</f>
        <v>8.2859964638907933</v>
      </c>
      <c r="H937" s="1">
        <f t="shared" si="1073"/>
        <v>4.9302573283011286</v>
      </c>
      <c r="I937" s="1">
        <f t="shared" si="1073"/>
        <v>5.7793794550250759</v>
      </c>
      <c r="J937" s="1">
        <f t="shared" si="1073"/>
        <v>6.3102878317493678</v>
      </c>
      <c r="K937" s="1">
        <f t="shared" si="1073"/>
        <v>6.594074151399858</v>
      </c>
      <c r="L937" s="1">
        <f t="shared" ref="L937" si="1074">L938+L944</f>
        <v>7.0167788595058829</v>
      </c>
      <c r="N937" s="1"/>
    </row>
    <row r="938" spans="2:14" x14ac:dyDescent="0.35">
      <c r="B938" s="5" t="str">
        <f t="shared" si="1069"/>
        <v>SPS1</v>
      </c>
      <c r="C938" s="5" t="str">
        <f t="shared" si="1070"/>
        <v>CH</v>
      </c>
      <c r="D938" t="s">
        <v>984</v>
      </c>
      <c r="E938" t="s">
        <v>8</v>
      </c>
      <c r="F938" s="1">
        <f>[1]Services!B$51</f>
        <v>2.0957156773978651</v>
      </c>
      <c r="G938" s="1">
        <f>[1]Services!C$51</f>
        <v>2.2700604344124597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69"/>
        <v>SPS1</v>
      </c>
      <c r="C939" s="5" t="str">
        <f t="shared" si="1070"/>
        <v>CH</v>
      </c>
      <c r="D939" t="s">
        <v>692</v>
      </c>
      <c r="E939" t="s">
        <v>8</v>
      </c>
      <c r="F939" s="1">
        <f>IFERROR(F907/F$906,0)*F$938</f>
        <v>1.4100649543511847</v>
      </c>
      <c r="G939" s="1">
        <f t="shared" ref="G939:K939" si="1075">IFERROR(G907/G$906,0)*G$938</f>
        <v>1.5386949377980621</v>
      </c>
      <c r="H939" s="1">
        <f t="shared" si="1075"/>
        <v>0</v>
      </c>
      <c r="I939" s="1">
        <f t="shared" si="1075"/>
        <v>0</v>
      </c>
      <c r="J939" s="1">
        <f t="shared" si="1075"/>
        <v>0</v>
      </c>
      <c r="K939" s="1">
        <f t="shared" si="1075"/>
        <v>0</v>
      </c>
      <c r="L939" s="1">
        <f t="shared" ref="L939" si="1076">IFERROR(L907/L$906,0)*L$938</f>
        <v>0</v>
      </c>
      <c r="N939" s="1"/>
    </row>
    <row r="940" spans="2:14" x14ac:dyDescent="0.35">
      <c r="B940" s="5" t="str">
        <f t="shared" si="1069"/>
        <v>SPS1</v>
      </c>
      <c r="C940" s="5" t="str">
        <f t="shared" si="1070"/>
        <v>CH</v>
      </c>
      <c r="D940" t="s">
        <v>693</v>
      </c>
      <c r="E940" t="s">
        <v>8</v>
      </c>
      <c r="F940" s="1">
        <f>IFERROR(F908/F$906,0)*F$938</f>
        <v>0.6856507230466804</v>
      </c>
      <c r="G940" s="1">
        <f t="shared" ref="G940:K943" si="1077">IFERROR(G908/G$906,0)*G$938</f>
        <v>0.73136549661439754</v>
      </c>
      <c r="H940" s="1">
        <f t="shared" si="1077"/>
        <v>0</v>
      </c>
      <c r="I940" s="1">
        <f t="shared" si="1077"/>
        <v>0</v>
      </c>
      <c r="J940" s="1">
        <f t="shared" si="1077"/>
        <v>0</v>
      </c>
      <c r="K940" s="1">
        <f t="shared" si="1077"/>
        <v>0</v>
      </c>
      <c r="L940" s="1">
        <f t="shared" ref="L940" si="1078">IFERROR(L908/L$906,0)*L$938</f>
        <v>0</v>
      </c>
      <c r="N940" s="1"/>
    </row>
    <row r="941" spans="2:14" x14ac:dyDescent="0.35">
      <c r="B941" s="5" t="str">
        <f t="shared" si="1069"/>
        <v>SPS1</v>
      </c>
      <c r="C941" s="5" t="str">
        <f t="shared" si="1070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7"/>
        <v>0</v>
      </c>
      <c r="H941" s="1">
        <f t="shared" si="1077"/>
        <v>0</v>
      </c>
      <c r="I941" s="1">
        <f t="shared" si="1077"/>
        <v>0</v>
      </c>
      <c r="J941" s="1">
        <f t="shared" si="1077"/>
        <v>0</v>
      </c>
      <c r="K941" s="1">
        <f t="shared" si="1077"/>
        <v>0</v>
      </c>
      <c r="L941" s="1">
        <f t="shared" ref="L941" si="1079">IFERROR(L909/L$906,0)*L$938</f>
        <v>0</v>
      </c>
      <c r="N941" s="1"/>
    </row>
    <row r="942" spans="2:14" x14ac:dyDescent="0.35">
      <c r="B942" s="5" t="str">
        <f t="shared" si="1069"/>
        <v>SPS1</v>
      </c>
      <c r="C942" s="5" t="str">
        <f t="shared" si="1070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7"/>
        <v>0</v>
      </c>
      <c r="H942" s="1">
        <f t="shared" si="1077"/>
        <v>0</v>
      </c>
      <c r="I942" s="1">
        <f t="shared" si="1077"/>
        <v>0</v>
      </c>
      <c r="J942" s="1">
        <f t="shared" si="1077"/>
        <v>0</v>
      </c>
      <c r="K942" s="1">
        <f t="shared" si="1077"/>
        <v>0</v>
      </c>
      <c r="L942" s="1">
        <f t="shared" ref="L942" si="1080">IFERROR(L910/L$906,0)*L$938</f>
        <v>0</v>
      </c>
      <c r="N942" s="1"/>
    </row>
    <row r="943" spans="2:14" x14ac:dyDescent="0.35">
      <c r="B943" s="5" t="str">
        <f t="shared" si="1069"/>
        <v>SPS1</v>
      </c>
      <c r="C943" s="5" t="str">
        <f t="shared" si="1070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7"/>
        <v>0</v>
      </c>
      <c r="H943" s="1">
        <f t="shared" si="1077"/>
        <v>0</v>
      </c>
      <c r="I943" s="1">
        <f t="shared" si="1077"/>
        <v>0</v>
      </c>
      <c r="J943" s="1">
        <f t="shared" si="1077"/>
        <v>0</v>
      </c>
      <c r="K943" s="1">
        <f t="shared" si="1077"/>
        <v>0</v>
      </c>
      <c r="L943" s="1">
        <f t="shared" ref="L943" si="1081">IFERROR(L911/L$906,0)*L$938</f>
        <v>0</v>
      </c>
      <c r="N943" s="1"/>
    </row>
    <row r="944" spans="2:14" x14ac:dyDescent="0.35">
      <c r="B944" s="5" t="str">
        <f t="shared" si="1069"/>
        <v>SPS1</v>
      </c>
      <c r="C944" s="5" t="str">
        <f t="shared" si="1070"/>
        <v>CH</v>
      </c>
      <c r="D944" t="s">
        <v>985</v>
      </c>
      <c r="E944" t="s">
        <v>8</v>
      </c>
      <c r="F944" s="1">
        <f>[1]Services!B$52</f>
        <v>5.5539013379628575</v>
      </c>
      <c r="G944" s="1">
        <f>[1]Services!C$52</f>
        <v>6.0159360294783326</v>
      </c>
      <c r="H944" s="1">
        <f>[1]Services!D$52</f>
        <v>4.9302573283011286</v>
      </c>
      <c r="I944" s="1">
        <f>[1]Services!E$52</f>
        <v>5.7793794550250759</v>
      </c>
      <c r="J944" s="1">
        <f>[2]Services!F$52</f>
        <v>6.3102878317493678</v>
      </c>
      <c r="K944" s="1">
        <f>[2]Services!G$52</f>
        <v>6.594074151399858</v>
      </c>
      <c r="L944" s="1">
        <f>[2]Services!H$52</f>
        <v>7.0167788595058829</v>
      </c>
      <c r="N944" s="1"/>
    </row>
    <row r="945" spans="2:14" x14ac:dyDescent="0.35">
      <c r="B945" s="5" t="str">
        <f t="shared" si="1069"/>
        <v>SPS1</v>
      </c>
      <c r="C945" s="5" t="str">
        <f t="shared" si="1070"/>
        <v>CH</v>
      </c>
      <c r="D945" t="s">
        <v>986</v>
      </c>
      <c r="E945" t="s">
        <v>8</v>
      </c>
      <c r="F945" s="1">
        <f>F946</f>
        <v>6.1735456032767795</v>
      </c>
      <c r="G945" s="1">
        <f t="shared" ref="G945:L945" si="1082">G946</f>
        <v>6.8807335819935878</v>
      </c>
      <c r="H945" s="1">
        <f t="shared" si="1082"/>
        <v>6.1542998136493985</v>
      </c>
      <c r="I945" s="1">
        <f t="shared" si="1082"/>
        <v>6.278426986203284</v>
      </c>
      <c r="J945" s="1">
        <f t="shared" si="1082"/>
        <v>5.8479758394967405</v>
      </c>
      <c r="K945" s="1">
        <f t="shared" si="1082"/>
        <v>5.3552813030615116</v>
      </c>
      <c r="L945" s="1">
        <f t="shared" si="1082"/>
        <v>4.6876373476354454</v>
      </c>
      <c r="N945" s="1"/>
    </row>
    <row r="946" spans="2:14" x14ac:dyDescent="0.35">
      <c r="B946" s="5" t="str">
        <f t="shared" si="1069"/>
        <v>SPS1</v>
      </c>
      <c r="C946" s="5" t="str">
        <f t="shared" si="1070"/>
        <v>CH</v>
      </c>
      <c r="D946" t="s">
        <v>987</v>
      </c>
      <c r="E946" t="s">
        <v>8</v>
      </c>
      <c r="F946" s="1">
        <f>[1]Services!B$53</f>
        <v>6.1735456032767795</v>
      </c>
      <c r="G946" s="1">
        <f>[1]Services!C$53</f>
        <v>6.8807335819935878</v>
      </c>
      <c r="H946" s="1">
        <f>[1]Services!D$53</f>
        <v>6.1542998136493985</v>
      </c>
      <c r="I946" s="1">
        <f>[1]Services!E$53</f>
        <v>6.278426986203284</v>
      </c>
      <c r="J946" s="1">
        <f>[2]Services!F$53</f>
        <v>5.8479758394967405</v>
      </c>
      <c r="K946" s="1">
        <f>[2]Services!G$53</f>
        <v>5.3552813030615116</v>
      </c>
      <c r="L946" s="1">
        <f>[2]Services!H$53</f>
        <v>4.6876373476354454</v>
      </c>
      <c r="N946" s="1"/>
    </row>
    <row r="947" spans="2:14" x14ac:dyDescent="0.35">
      <c r="B947" s="5" t="str">
        <f t="shared" si="1069"/>
        <v>SPS1</v>
      </c>
      <c r="C947" s="5" t="str">
        <f t="shared" si="1070"/>
        <v>CH</v>
      </c>
      <c r="D947" t="s">
        <v>988</v>
      </c>
      <c r="E947" t="s">
        <v>8</v>
      </c>
      <c r="F947" s="1">
        <f>F948</f>
        <v>1.8770715308791384</v>
      </c>
      <c r="G947" s="1">
        <f t="shared" ref="G947:L947" si="1083">G948</f>
        <v>2.1600830818836454</v>
      </c>
      <c r="H947" s="1">
        <f t="shared" si="1083"/>
        <v>0.42489618913846366</v>
      </c>
      <c r="I947" s="1">
        <f t="shared" si="1083"/>
        <v>0.71393835559870633</v>
      </c>
      <c r="J947" s="1">
        <f t="shared" si="1083"/>
        <v>0.86669638316514996</v>
      </c>
      <c r="K947" s="1">
        <f t="shared" si="1083"/>
        <v>1.0161973327684932</v>
      </c>
      <c r="L947" s="1">
        <f t="shared" si="1083"/>
        <v>1.2444735386213936</v>
      </c>
      <c r="N947" s="1"/>
    </row>
    <row r="948" spans="2:14" x14ac:dyDescent="0.35">
      <c r="B948" s="5" t="str">
        <f t="shared" si="1069"/>
        <v>SPS1</v>
      </c>
      <c r="C948" s="5" t="str">
        <f t="shared" si="1070"/>
        <v>CH</v>
      </c>
      <c r="D948" t="s">
        <v>989</v>
      </c>
      <c r="E948" t="s">
        <v>8</v>
      </c>
      <c r="F948" s="1">
        <f>[1]Services!B$54</f>
        <v>1.8770715308791384</v>
      </c>
      <c r="G948" s="1">
        <f>[1]Services!C$54</f>
        <v>2.1600830818836454</v>
      </c>
      <c r="H948" s="1">
        <f>[1]Services!D$54</f>
        <v>0.42489618913846366</v>
      </c>
      <c r="I948" s="1">
        <f>[1]Services!E$54</f>
        <v>0.71393835559870633</v>
      </c>
      <c r="J948" s="1">
        <f>[2]Services!F$54</f>
        <v>0.86669638316514996</v>
      </c>
      <c r="K948" s="1">
        <f>[2]Services!G$54</f>
        <v>1.0161973327684932</v>
      </c>
      <c r="L948" s="1">
        <f>[2]Services!H$54</f>
        <v>1.2444735386213936</v>
      </c>
      <c r="N948" s="1"/>
    </row>
    <row r="949" spans="2:14" x14ac:dyDescent="0.35">
      <c r="B949" s="5" t="str">
        <f t="shared" si="1069"/>
        <v>SPS1</v>
      </c>
      <c r="C949" s="5" t="str">
        <f t="shared" si="1070"/>
        <v>CH</v>
      </c>
      <c r="D949" t="s">
        <v>990</v>
      </c>
      <c r="E949" t="s">
        <v>8</v>
      </c>
      <c r="F949" s="1">
        <f>F950</f>
        <v>0.62699637824958021</v>
      </c>
      <c r="G949" s="1">
        <f t="shared" ref="G949:L949" si="1084">G950</f>
        <v>0.68733688927713943</v>
      </c>
      <c r="H949" s="1">
        <f t="shared" si="1084"/>
        <v>0.52379311326975142</v>
      </c>
      <c r="I949" s="1">
        <f t="shared" si="1084"/>
        <v>0.61029278424826483</v>
      </c>
      <c r="J949" s="1">
        <f t="shared" si="1084"/>
        <v>0.68114586012641432</v>
      </c>
      <c r="K949" s="1">
        <f t="shared" si="1084"/>
        <v>0.73462659933055852</v>
      </c>
      <c r="L949" s="1">
        <f t="shared" si="1084"/>
        <v>0.87740687823161689</v>
      </c>
      <c r="N949" s="1"/>
    </row>
    <row r="950" spans="2:14" x14ac:dyDescent="0.35">
      <c r="B950" s="5" t="str">
        <f t="shared" si="1069"/>
        <v>SPS1</v>
      </c>
      <c r="C950" s="5" t="str">
        <f t="shared" si="1070"/>
        <v>CH</v>
      </c>
      <c r="D950" t="s">
        <v>991</v>
      </c>
      <c r="E950" t="s">
        <v>8</v>
      </c>
      <c r="F950" s="1">
        <f>[1]Services!B$55</f>
        <v>0.62699637824958021</v>
      </c>
      <c r="G950" s="1">
        <f>[1]Services!C$55</f>
        <v>0.68733688927713943</v>
      </c>
      <c r="H950" s="1">
        <f>[1]Services!D$55</f>
        <v>0.52379311326975142</v>
      </c>
      <c r="I950" s="1">
        <f>[1]Services!E$55</f>
        <v>0.61029278424826483</v>
      </c>
      <c r="J950" s="1">
        <f>[2]Services!F$55</f>
        <v>0.68114586012641432</v>
      </c>
      <c r="K950" s="1">
        <f>[2]Services!G$55</f>
        <v>0.73462659933055852</v>
      </c>
      <c r="L950" s="1">
        <f>[2]Services!H$55</f>
        <v>0.87740687823161689</v>
      </c>
      <c r="N950" s="1"/>
    </row>
    <row r="951" spans="2:14" x14ac:dyDescent="0.35">
      <c r="B951" s="5" t="str">
        <f t="shared" si="1069"/>
        <v>SPS1</v>
      </c>
      <c r="C951" s="5" t="str">
        <f t="shared" si="1070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5">G952</f>
        <v>0</v>
      </c>
      <c r="H951" s="1">
        <f t="shared" si="1085"/>
        <v>0</v>
      </c>
      <c r="I951" s="1">
        <f t="shared" si="1085"/>
        <v>0</v>
      </c>
      <c r="J951" s="1">
        <f t="shared" si="1085"/>
        <v>0</v>
      </c>
      <c r="K951" s="1">
        <f t="shared" si="1085"/>
        <v>0</v>
      </c>
      <c r="L951" s="1">
        <f t="shared" si="1085"/>
        <v>0</v>
      </c>
      <c r="N951" s="1"/>
    </row>
    <row r="952" spans="2:14" x14ac:dyDescent="0.35">
      <c r="B952" s="5" t="str">
        <f t="shared" si="1069"/>
        <v>SPS1</v>
      </c>
      <c r="C952" s="5" t="str">
        <f t="shared" si="1070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69"/>
        <v>SPS1</v>
      </c>
      <c r="C953" s="5" t="str">
        <f t="shared" si="1070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6.9643117502210981</v>
      </c>
      <c r="H953" s="1">
        <f>[1]Services!D$58</f>
        <v>2.2375721213979114</v>
      </c>
      <c r="I953" s="1">
        <f>[1]Services!E$58</f>
        <v>4.0645233314683571</v>
      </c>
      <c r="J953" s="1">
        <f>[2]Services!F$58</f>
        <v>5.8481934407690703</v>
      </c>
      <c r="K953" s="1">
        <f>[2]Services!G$58</f>
        <v>7.5761923729308576</v>
      </c>
      <c r="L953" s="1">
        <f>[2]Services!H$58</f>
        <v>10.770329393154412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6">B954</f>
        <v>SPS1</v>
      </c>
      <c r="C955" s="5" t="str">
        <f t="shared" ref="C955:C971" si="1087">C954</f>
        <v>CH</v>
      </c>
      <c r="D955" t="s">
        <v>761</v>
      </c>
      <c r="E955" t="s">
        <v>240</v>
      </c>
      <c r="F955" s="4">
        <f t="shared" ref="F955:K957" si="1088">IFERROR(F928/F884,"-")</f>
        <v>0.91250000000000053</v>
      </c>
      <c r="G955" s="4">
        <f t="shared" si="1088"/>
        <v>0.91500000000000092</v>
      </c>
      <c r="H955" s="4">
        <f t="shared" si="1088"/>
        <v>0.47260954247694487</v>
      </c>
      <c r="I955" s="4">
        <f t="shared" si="1088"/>
        <v>0.48561346264284216</v>
      </c>
      <c r="J955" s="4">
        <f t="shared" si="1088"/>
        <v>0.49563212935683665</v>
      </c>
      <c r="K955" s="4">
        <f t="shared" si="1088"/>
        <v>0.50281859602500312</v>
      </c>
      <c r="L955" s="4">
        <f t="shared" ref="L955" si="1089">IFERROR(L928/L884,"-")</f>
        <v>0.52545933161334657</v>
      </c>
      <c r="N955" s="1"/>
    </row>
    <row r="956" spans="2:14" x14ac:dyDescent="0.35">
      <c r="B956" s="5" t="str">
        <f t="shared" si="1086"/>
        <v>SPS1</v>
      </c>
      <c r="C956" s="5" t="str">
        <f t="shared" si="1087"/>
        <v>CH</v>
      </c>
      <c r="D956" t="s">
        <v>730</v>
      </c>
      <c r="E956" t="s">
        <v>240</v>
      </c>
      <c r="F956" s="4">
        <f t="shared" si="1088"/>
        <v>3.1999999999999957</v>
      </c>
      <c r="G956" s="4">
        <f t="shared" si="1088"/>
        <v>3.24</v>
      </c>
      <c r="H956" s="4">
        <f t="shared" si="1088"/>
        <v>2.8387961002592808</v>
      </c>
      <c r="I956" s="4">
        <f t="shared" si="1088"/>
        <v>3.0249442317027104</v>
      </c>
      <c r="J956" s="4">
        <f t="shared" si="1088"/>
        <v>3.1415841514133098</v>
      </c>
      <c r="K956" s="4">
        <f t="shared" si="1088"/>
        <v>3.2423459884046721</v>
      </c>
      <c r="L956" s="4">
        <f t="shared" ref="L956" si="1090">IFERROR(L929/L885,"-")</f>
        <v>3.4655180012955267</v>
      </c>
      <c r="N956" s="1"/>
    </row>
    <row r="957" spans="2:14" x14ac:dyDescent="0.35">
      <c r="B957" s="5" t="str">
        <f t="shared" si="1086"/>
        <v>SPS1</v>
      </c>
      <c r="C957" s="5" t="str">
        <f t="shared" si="1087"/>
        <v>CH</v>
      </c>
      <c r="D957" t="s">
        <v>699</v>
      </c>
      <c r="E957" t="s">
        <v>240</v>
      </c>
      <c r="F957" s="4">
        <f t="shared" si="1088"/>
        <v>1</v>
      </c>
      <c r="G957" s="4">
        <f t="shared" si="1088"/>
        <v>1</v>
      </c>
      <c r="H957" s="4">
        <f t="shared" si="1088"/>
        <v>0.99999999999999989</v>
      </c>
      <c r="I957" s="4">
        <f t="shared" si="1088"/>
        <v>0.99999999999999978</v>
      </c>
      <c r="J957" s="4">
        <f t="shared" si="1088"/>
        <v>1</v>
      </c>
      <c r="K957" s="4">
        <f t="shared" si="1088"/>
        <v>0.99999999999999989</v>
      </c>
      <c r="L957" s="4">
        <f t="shared" ref="L957" si="1091">IFERROR(L930/L886,"-")</f>
        <v>0.99999999999999989</v>
      </c>
      <c r="N957" s="1"/>
    </row>
    <row r="958" spans="2:14" x14ac:dyDescent="0.35">
      <c r="B958" s="5" t="str">
        <f t="shared" si="1086"/>
        <v>SPS1</v>
      </c>
      <c r="C958" s="5" t="str">
        <f t="shared" si="1087"/>
        <v>CH</v>
      </c>
      <c r="D958" t="s">
        <v>700</v>
      </c>
      <c r="E958" t="s">
        <v>240</v>
      </c>
      <c r="F958" s="4">
        <f t="shared" ref="F958:K958" si="1092">IFERROR(F932/F888,"-")</f>
        <v>0.8210784313725491</v>
      </c>
      <c r="G958" s="4">
        <f t="shared" si="1092"/>
        <v>0.8227043292564552</v>
      </c>
      <c r="H958" s="4">
        <f t="shared" si="1092"/>
        <v>0.79436990814523356</v>
      </c>
      <c r="I958" s="4">
        <f t="shared" si="1092"/>
        <v>0.81042898714256917</v>
      </c>
      <c r="J958" s="4">
        <f t="shared" si="1092"/>
        <v>0.81746296413713349</v>
      </c>
      <c r="K958" s="4">
        <f t="shared" si="1092"/>
        <v>0.81746296413713249</v>
      </c>
      <c r="L958" s="4">
        <f t="shared" ref="L958" si="1093">IFERROR(L932/L888,"-")</f>
        <v>0.81746296413713193</v>
      </c>
      <c r="N958" s="1"/>
    </row>
    <row r="959" spans="2:14" x14ac:dyDescent="0.35">
      <c r="B959" s="5" t="str">
        <f t="shared" si="1086"/>
        <v>SPS1</v>
      </c>
      <c r="C959" s="5" t="str">
        <f t="shared" si="1087"/>
        <v>CH</v>
      </c>
      <c r="D959" t="s">
        <v>701</v>
      </c>
      <c r="E959" t="s">
        <v>240</v>
      </c>
      <c r="F959" s="4">
        <f t="shared" ref="F959:K961" si="1094">IFERROR(F934/F895,"-")</f>
        <v>0.94680851063829763</v>
      </c>
      <c r="G959" s="4">
        <f t="shared" si="1094"/>
        <v>0.94680851063829885</v>
      </c>
      <c r="H959" s="4">
        <f t="shared" si="1094"/>
        <v>0.82463818842935044</v>
      </c>
      <c r="I959" s="4">
        <f t="shared" si="1094"/>
        <v>0.79683749277462235</v>
      </c>
      <c r="J959" s="4">
        <f t="shared" si="1094"/>
        <v>0.76110589143463725</v>
      </c>
      <c r="K959" s="4">
        <f t="shared" si="1094"/>
        <v>0.71576604740548577</v>
      </c>
      <c r="L959" s="4">
        <f t="shared" ref="L959" si="1095">IFERROR(L934/L895,"-")</f>
        <v>0.57855929490870583</v>
      </c>
      <c r="N959" s="1"/>
    </row>
    <row r="960" spans="2:14" x14ac:dyDescent="0.35">
      <c r="B960" s="5" t="str">
        <f t="shared" si="1086"/>
        <v>SPS1</v>
      </c>
      <c r="C960" s="5" t="str">
        <f t="shared" si="1087"/>
        <v>CH</v>
      </c>
      <c r="D960" t="s">
        <v>731</v>
      </c>
      <c r="E960" t="s">
        <v>240</v>
      </c>
      <c r="F960" s="4" t="str">
        <f t="shared" si="1094"/>
        <v>-</v>
      </c>
      <c r="G960" s="4" t="str">
        <f t="shared" si="1094"/>
        <v>-</v>
      </c>
      <c r="H960" s="4">
        <f t="shared" si="1094"/>
        <v>1.9081923466761501</v>
      </c>
      <c r="I960" s="4">
        <f t="shared" si="1094"/>
        <v>1.9602463727888615</v>
      </c>
      <c r="J960" s="4">
        <f t="shared" si="1094"/>
        <v>2.0028047917499725</v>
      </c>
      <c r="K960" s="4">
        <f t="shared" si="1094"/>
        <v>2.0392367377374612</v>
      </c>
      <c r="L960" s="4">
        <f t="shared" ref="L960" si="1096">IFERROR(L935/L896,"-")</f>
        <v>2.1143791649700119</v>
      </c>
      <c r="N960" s="1"/>
    </row>
    <row r="961" spans="2:14" x14ac:dyDescent="0.35">
      <c r="B961" s="5" t="str">
        <f t="shared" si="1086"/>
        <v>SPS1</v>
      </c>
      <c r="C961" s="5" t="str">
        <f t="shared" si="1087"/>
        <v>CH</v>
      </c>
      <c r="D961" t="s">
        <v>702</v>
      </c>
      <c r="E961" t="s">
        <v>240</v>
      </c>
      <c r="F961" s="4">
        <f t="shared" si="1094"/>
        <v>0.87219999999999964</v>
      </c>
      <c r="G961" s="4">
        <f t="shared" si="1094"/>
        <v>0.8722000000000002</v>
      </c>
      <c r="H961" s="4" t="str">
        <f t="shared" si="1094"/>
        <v>-</v>
      </c>
      <c r="I961" s="4" t="str">
        <f t="shared" si="1094"/>
        <v>-</v>
      </c>
      <c r="J961" s="4" t="str">
        <f t="shared" si="1094"/>
        <v>-</v>
      </c>
      <c r="K961" s="4" t="str">
        <f t="shared" si="1094"/>
        <v>-</v>
      </c>
      <c r="L961" s="4" t="str">
        <f t="shared" ref="L961" si="1097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8">IFERROR(F939/F907,"-")</f>
        <v>0.99</v>
      </c>
      <c r="G962" s="4">
        <f t="shared" si="1098"/>
        <v>0.99</v>
      </c>
      <c r="H962" s="4" t="str">
        <f t="shared" si="1098"/>
        <v>-</v>
      </c>
      <c r="I962" s="4" t="str">
        <f t="shared" si="1098"/>
        <v>-</v>
      </c>
      <c r="J962" s="4" t="str">
        <f t="shared" si="1098"/>
        <v>-</v>
      </c>
      <c r="K962" s="4" t="str">
        <f t="shared" si="1098"/>
        <v>-</v>
      </c>
      <c r="L962" s="4" t="str">
        <f t="shared" ref="L962" si="1099">IFERROR(L939/L907,"-")</f>
        <v>-</v>
      </c>
      <c r="N962" s="1"/>
    </row>
    <row r="963" spans="2:14" x14ac:dyDescent="0.35">
      <c r="B963" s="5" t="str">
        <f t="shared" si="1086"/>
        <v>SPS1</v>
      </c>
      <c r="C963" s="5" t="str">
        <f t="shared" si="1087"/>
        <v>CH</v>
      </c>
      <c r="D963" t="s">
        <v>704</v>
      </c>
      <c r="E963" t="s">
        <v>240</v>
      </c>
      <c r="F963" s="4">
        <f t="shared" si="1098"/>
        <v>0.98999999999999988</v>
      </c>
      <c r="G963" s="4">
        <f t="shared" si="1098"/>
        <v>0.9900000000000001</v>
      </c>
      <c r="H963" s="4" t="str">
        <f t="shared" si="1098"/>
        <v>-</v>
      </c>
      <c r="I963" s="4" t="str">
        <f t="shared" si="1098"/>
        <v>-</v>
      </c>
      <c r="J963" s="4" t="str">
        <f t="shared" si="1098"/>
        <v>-</v>
      </c>
      <c r="K963" s="4" t="str">
        <f t="shared" si="1098"/>
        <v>-</v>
      </c>
      <c r="L963" s="4" t="str">
        <f t="shared" ref="L963" si="1100">IFERROR(L940/L908,"-")</f>
        <v>-</v>
      </c>
      <c r="N963" s="1"/>
    </row>
    <row r="964" spans="2:14" x14ac:dyDescent="0.35">
      <c r="B964" s="5" t="str">
        <f t="shared" si="1086"/>
        <v>SPS1</v>
      </c>
      <c r="C964" s="5" t="str">
        <f t="shared" si="1087"/>
        <v>CH</v>
      </c>
      <c r="D964" t="s">
        <v>705</v>
      </c>
      <c r="E964" t="s">
        <v>240</v>
      </c>
      <c r="F964" s="4" t="str">
        <f t="shared" si="1098"/>
        <v>-</v>
      </c>
      <c r="G964" s="4" t="str">
        <f t="shared" si="1098"/>
        <v>-</v>
      </c>
      <c r="H964" s="4" t="str">
        <f t="shared" si="1098"/>
        <v>-</v>
      </c>
      <c r="I964" s="4" t="str">
        <f t="shared" si="1098"/>
        <v>-</v>
      </c>
      <c r="J964" s="4" t="str">
        <f t="shared" si="1098"/>
        <v>-</v>
      </c>
      <c r="K964" s="4" t="str">
        <f t="shared" si="1098"/>
        <v>-</v>
      </c>
      <c r="L964" s="4" t="str">
        <f t="shared" ref="L964" si="1101">IFERROR(L941/L909,"-")</f>
        <v>-</v>
      </c>
      <c r="N964" s="1"/>
    </row>
    <row r="965" spans="2:14" x14ac:dyDescent="0.35">
      <c r="B965" s="5" t="str">
        <f t="shared" si="1086"/>
        <v>SPS1</v>
      </c>
      <c r="C965" s="5" t="str">
        <f t="shared" si="1087"/>
        <v>CH</v>
      </c>
      <c r="D965" t="s">
        <v>706</v>
      </c>
      <c r="E965" t="s">
        <v>240</v>
      </c>
      <c r="F965" s="4" t="str">
        <f t="shared" si="1098"/>
        <v>-</v>
      </c>
      <c r="G965" s="4" t="str">
        <f t="shared" si="1098"/>
        <v>-</v>
      </c>
      <c r="H965" s="4" t="str">
        <f t="shared" si="1098"/>
        <v>-</v>
      </c>
      <c r="I965" s="4" t="str">
        <f t="shared" si="1098"/>
        <v>-</v>
      </c>
      <c r="J965" s="4" t="str">
        <f t="shared" si="1098"/>
        <v>-</v>
      </c>
      <c r="K965" s="4" t="str">
        <f t="shared" si="1098"/>
        <v>-</v>
      </c>
      <c r="L965" s="4" t="str">
        <f t="shared" ref="L965" si="1102">IFERROR(L942/L910,"-")</f>
        <v>-</v>
      </c>
      <c r="N965" s="1"/>
    </row>
    <row r="966" spans="2:14" x14ac:dyDescent="0.35">
      <c r="B966" s="5" t="str">
        <f t="shared" si="1086"/>
        <v>SPS1</v>
      </c>
      <c r="C966" s="5" t="str">
        <f t="shared" si="1087"/>
        <v>CH</v>
      </c>
      <c r="D966" t="s">
        <v>707</v>
      </c>
      <c r="E966" t="s">
        <v>240</v>
      </c>
      <c r="F966" s="4" t="str">
        <f t="shared" si="1098"/>
        <v>-</v>
      </c>
      <c r="G966" s="4" t="str">
        <f t="shared" si="1098"/>
        <v>-</v>
      </c>
      <c r="H966" s="4" t="str">
        <f t="shared" si="1098"/>
        <v>-</v>
      </c>
      <c r="I966" s="4" t="str">
        <f t="shared" si="1098"/>
        <v>-</v>
      </c>
      <c r="J966" s="4" t="str">
        <f t="shared" si="1098"/>
        <v>-</v>
      </c>
      <c r="K966" s="4" t="str">
        <f t="shared" si="1098"/>
        <v>-</v>
      </c>
      <c r="L966" s="4" t="str">
        <f t="shared" ref="L966" si="1103">IFERROR(L943/L911,"-")</f>
        <v>-</v>
      </c>
      <c r="N966" s="1"/>
    </row>
    <row r="967" spans="2:14" x14ac:dyDescent="0.35">
      <c r="B967" s="5" t="str">
        <f t="shared" si="1086"/>
        <v>SPS1</v>
      </c>
      <c r="C967" s="5" t="str">
        <f t="shared" si="1087"/>
        <v>CH</v>
      </c>
      <c r="D967" t="s">
        <v>995</v>
      </c>
      <c r="E967" t="s">
        <v>240</v>
      </c>
      <c r="F967" s="4">
        <f t="shared" si="1098"/>
        <v>0.99</v>
      </c>
      <c r="G967" s="4">
        <f t="shared" si="1098"/>
        <v>0.98999999999999921</v>
      </c>
      <c r="H967" s="4">
        <f t="shared" si="1098"/>
        <v>0.82319038897750929</v>
      </c>
      <c r="I967" s="4">
        <f t="shared" si="1098"/>
        <v>0.82669780245567348</v>
      </c>
      <c r="J967" s="4">
        <f t="shared" si="1098"/>
        <v>0.82669780245567137</v>
      </c>
      <c r="K967" s="4">
        <f t="shared" si="1098"/>
        <v>0.82669780245567204</v>
      </c>
      <c r="L967" s="4">
        <f t="shared" ref="L967" si="1104">IFERROR(L944/L912,"-")</f>
        <v>0.82669780245567193</v>
      </c>
      <c r="N967" s="1"/>
    </row>
    <row r="968" spans="2:14" x14ac:dyDescent="0.35">
      <c r="B968" s="5" t="str">
        <f t="shared" si="1086"/>
        <v>SPS1</v>
      </c>
      <c r="C968" s="5" t="str">
        <f t="shared" si="1087"/>
        <v>CH</v>
      </c>
      <c r="D968" t="s">
        <v>996</v>
      </c>
      <c r="E968" t="s">
        <v>240</v>
      </c>
      <c r="F968" s="4">
        <f t="shared" ref="F968:K968" si="1105">IFERROR(F946/F913,"-")</f>
        <v>0.7200000000000002</v>
      </c>
      <c r="G968" s="4">
        <f t="shared" si="1105"/>
        <v>0.7200000000000002</v>
      </c>
      <c r="H968" s="4">
        <f t="shared" si="1105"/>
        <v>0.67615253540056863</v>
      </c>
      <c r="I968" s="4">
        <f t="shared" si="1105"/>
        <v>0.6781424527436043</v>
      </c>
      <c r="J968" s="4">
        <f t="shared" si="1105"/>
        <v>0.67814245274360474</v>
      </c>
      <c r="K968" s="4">
        <f t="shared" si="1105"/>
        <v>0.67814245274360518</v>
      </c>
      <c r="L968" s="4">
        <f t="shared" ref="L968" si="1106">IFERROR(L946/L913,"-")</f>
        <v>0.6817916013719898</v>
      </c>
      <c r="N968" s="1"/>
    </row>
    <row r="969" spans="2:14" x14ac:dyDescent="0.35">
      <c r="B969" s="5" t="str">
        <f t="shared" si="1086"/>
        <v>SPS1</v>
      </c>
      <c r="C969" s="5" t="str">
        <f t="shared" si="1087"/>
        <v>CH</v>
      </c>
      <c r="D969" t="s">
        <v>997</v>
      </c>
      <c r="E969" t="s">
        <v>240</v>
      </c>
      <c r="F969" s="4">
        <f t="shared" ref="F969:K969" si="1107">IFERROR(F948/F916,"-")</f>
        <v>0.90000000000000058</v>
      </c>
      <c r="G969" s="4">
        <f t="shared" si="1107"/>
        <v>0.90000000000000047</v>
      </c>
      <c r="H969" s="4">
        <f t="shared" si="1107"/>
        <v>0.6675420196980929</v>
      </c>
      <c r="I969" s="4">
        <f t="shared" si="1107"/>
        <v>0.67134239097710591</v>
      </c>
      <c r="J969" s="4">
        <f t="shared" si="1107"/>
        <v>0.6713454375006862</v>
      </c>
      <c r="K969" s="4">
        <f t="shared" si="1107"/>
        <v>0.67134543750068565</v>
      </c>
      <c r="L969" s="4">
        <f t="shared" ref="L969" si="1108">IFERROR(L948/L916,"-")</f>
        <v>0.67134543750068587</v>
      </c>
      <c r="N969" s="1"/>
    </row>
    <row r="970" spans="2:14" x14ac:dyDescent="0.35">
      <c r="B970" s="5" t="str">
        <f t="shared" si="1086"/>
        <v>SPS1</v>
      </c>
      <c r="C970" s="5" t="str">
        <f t="shared" si="1087"/>
        <v>CH</v>
      </c>
      <c r="D970" t="s">
        <v>998</v>
      </c>
      <c r="E970" t="s">
        <v>240</v>
      </c>
      <c r="F970" s="4">
        <f t="shared" ref="F970:K970" si="1109">IFERROR(F950/F918,"-")</f>
        <v>1</v>
      </c>
      <c r="G970" s="4">
        <f t="shared" si="1109"/>
        <v>1</v>
      </c>
      <c r="H970" s="4">
        <f t="shared" si="1109"/>
        <v>1</v>
      </c>
      <c r="I970" s="4">
        <f t="shared" si="1109"/>
        <v>1</v>
      </c>
      <c r="J970" s="4">
        <f t="shared" si="1109"/>
        <v>1</v>
      </c>
      <c r="K970" s="4">
        <f t="shared" si="1109"/>
        <v>1</v>
      </c>
      <c r="L970" s="4">
        <f t="shared" ref="L970" si="1110">IFERROR(L950/L918,"-")</f>
        <v>1</v>
      </c>
      <c r="N970" s="1"/>
    </row>
    <row r="971" spans="2:14" x14ac:dyDescent="0.35">
      <c r="B971" s="5" t="str">
        <f t="shared" si="1086"/>
        <v>SPS1</v>
      </c>
      <c r="C971" s="5" t="str">
        <f t="shared" si="1087"/>
        <v>CH</v>
      </c>
      <c r="D971" t="s">
        <v>999</v>
      </c>
      <c r="E971" t="s">
        <v>240</v>
      </c>
      <c r="F971" s="4" t="str">
        <f t="shared" ref="F971:K971" si="1111">IFERROR(F952/F922,"-")</f>
        <v>-</v>
      </c>
      <c r="G971" s="4" t="str">
        <f t="shared" si="1111"/>
        <v>-</v>
      </c>
      <c r="H971" s="4" t="str">
        <f t="shared" si="1111"/>
        <v>-</v>
      </c>
      <c r="I971" s="4" t="str">
        <f t="shared" si="1111"/>
        <v>-</v>
      </c>
      <c r="J971" s="4" t="str">
        <f t="shared" si="1111"/>
        <v>-</v>
      </c>
      <c r="K971" s="4" t="str">
        <f t="shared" si="1111"/>
        <v>-</v>
      </c>
      <c r="L971" s="4" t="str">
        <f t="shared" ref="L971" si="1112">IFERROR(L952/L922,"-")</f>
        <v>-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219.91228261839149</v>
      </c>
      <c r="G972" s="3">
        <f>[1]Residential!C$26</f>
        <v>216.99271107214253</v>
      </c>
      <c r="H972" s="3">
        <f>[1]Residential!D$26</f>
        <v>220.35317449240327</v>
      </c>
      <c r="I972" s="3">
        <f>[1]Residential!E$26</f>
        <v>211.18258740720438</v>
      </c>
      <c r="J972" s="3">
        <f>[2]Residential!F$26</f>
        <v>204.42032557824001</v>
      </c>
      <c r="K972" s="3">
        <f>[2]Residential!G$26</f>
        <v>199.60752883789544</v>
      </c>
      <c r="L972" s="3">
        <f>[2]Residential!H$26</f>
        <v>190.52716670347201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69.470033851746962</v>
      </c>
      <c r="G973" s="1">
        <f>[1]Residential!C$15</f>
        <v>70.028411723656916</v>
      </c>
      <c r="H973" s="1">
        <f>[1]Residential!D$15</f>
        <v>69.491915727101642</v>
      </c>
      <c r="I973" s="1">
        <f>[1]Residential!E$15</f>
        <v>70.760390832898594</v>
      </c>
      <c r="J973" s="1">
        <f>[2]Residential!F$15</f>
        <v>72.052795222438291</v>
      </c>
      <c r="K973" s="1">
        <f>[2]Residential!G$15</f>
        <v>73.073853286365335</v>
      </c>
      <c r="L973" s="1">
        <f>[2]Residential!H$15</f>
        <v>73.884072299298253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15.333213131748545</v>
      </c>
      <c r="G974" s="1">
        <f t="shared" ref="G974:K974" si="1113">SUM(G975:G976)</f>
        <v>15.08192295072265</v>
      </c>
      <c r="H974" s="1">
        <f t="shared" si="1113"/>
        <v>11.388179070175886</v>
      </c>
      <c r="I974" s="1">
        <f t="shared" si="1113"/>
        <v>12.693259901913803</v>
      </c>
      <c r="J974" s="1">
        <f t="shared" si="1113"/>
        <v>13.505417256503815</v>
      </c>
      <c r="K974" s="1">
        <f t="shared" si="1113"/>
        <v>14.108733471898297</v>
      </c>
      <c r="L974" s="1">
        <f t="shared" ref="L974" si="1114">SUM(L975:L976)</f>
        <v>14.898010820757397</v>
      </c>
      <c r="N974" s="1"/>
    </row>
    <row r="975" spans="2:14" x14ac:dyDescent="0.35">
      <c r="B975" s="5" t="str">
        <f>B974</f>
        <v>SPS1</v>
      </c>
      <c r="C975" s="5" t="str">
        <f t="shared" ref="C975" si="1115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9.3768558635323878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8.2980656533346249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0.90846277768515604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0.24495654566479869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5.0301483788816201E-2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4.4855276449587304E-2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4.7982500232257065E-2</v>
      </c>
      <c r="N975" s="1"/>
    </row>
    <row r="976" spans="2:14" x14ac:dyDescent="0.35">
      <c r="B976" s="5" t="str">
        <f t="shared" ref="B976:B980" si="1116">B975</f>
        <v>SPS1</v>
      </c>
      <c r="C976" s="5" t="str">
        <f t="shared" ref="C976:C980" si="1117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5.9563572682161574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6.7838572973880238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10.47971629249073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12.448303356249005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13.455115772714999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14.06387819544871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14.850028320525141</v>
      </c>
      <c r="N976" s="1"/>
    </row>
    <row r="977" spans="2:14" x14ac:dyDescent="0.35">
      <c r="B977" s="5" t="str">
        <f t="shared" si="1116"/>
        <v>SPS1</v>
      </c>
      <c r="C977" s="5" t="str">
        <f t="shared" si="1117"/>
        <v>CH</v>
      </c>
      <c r="D977" t="s">
        <v>1002</v>
      </c>
      <c r="E977" t="s">
        <v>8</v>
      </c>
      <c r="F977" s="1">
        <f>SUM(F978:F979)</f>
        <v>9.5599150445221976</v>
      </c>
      <c r="G977" s="1">
        <f t="shared" ref="G977:K977" si="1118">SUM(G978:G979)</f>
        <v>10.08530811018607</v>
      </c>
      <c r="H977" s="1">
        <f t="shared" si="1118"/>
        <v>8.5803447248568716</v>
      </c>
      <c r="I977" s="1">
        <f t="shared" si="1118"/>
        <v>8.0502474790138479</v>
      </c>
      <c r="J977" s="1">
        <f t="shared" si="1118"/>
        <v>8.0557789067487633</v>
      </c>
      <c r="K977" s="1">
        <f t="shared" si="1118"/>
        <v>8.424668964057064</v>
      </c>
      <c r="L977" s="1">
        <f t="shared" ref="L977" si="1119">SUM(L978:L979)</f>
        <v>8.932569306662268</v>
      </c>
      <c r="N977" s="1"/>
    </row>
    <row r="978" spans="2:14" x14ac:dyDescent="0.35">
      <c r="B978" s="5" t="str">
        <f t="shared" si="1116"/>
        <v>SPS1</v>
      </c>
      <c r="C978" s="5" t="str">
        <f t="shared" si="1117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8.4110150088221491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8.7988751001049934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6.0584792174977826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4.6228790996558304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3.959641948246897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3.7550463593416477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3.283623159725424</v>
      </c>
      <c r="N978" s="1"/>
    </row>
    <row r="979" spans="2:14" x14ac:dyDescent="0.35">
      <c r="B979" s="5" t="str">
        <f t="shared" si="1116"/>
        <v>SPS1</v>
      </c>
      <c r="C979" s="5" t="str">
        <f t="shared" si="1117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1.1489000357000481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1.2864330100810752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2.5218655073590899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3.427368379358017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4.0961369585018659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4.6696226047154168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5.6489461469368436</v>
      </c>
      <c r="N979" s="1"/>
    </row>
    <row r="980" spans="2:14" x14ac:dyDescent="0.35">
      <c r="B980" s="5" t="str">
        <f t="shared" si="1116"/>
        <v>SPS1</v>
      </c>
      <c r="C980" s="5" t="str">
        <f t="shared" si="1117"/>
        <v>CH</v>
      </c>
      <c r="D980" t="s">
        <v>1003</v>
      </c>
      <c r="E980" t="s">
        <v>8</v>
      </c>
      <c r="F980" s="1">
        <f>[1]Residential!B$3-([1]Residential!B$10-[1]Residential!B$244)</f>
        <v>44.576905675476212</v>
      </c>
      <c r="G980" s="1">
        <f>[1]Residential!C$3-([1]Residential!C$10-[1]Residential!C$244)</f>
        <v>44.861180662748197</v>
      </c>
      <c r="H980" s="1">
        <f>[1]Residential!D$3-([1]Residential!D$10-[1]Residential!D$244)</f>
        <v>49.523391932068883</v>
      </c>
      <c r="I980" s="1">
        <f>[1]Residential!E$3-([1]Residential!E$10-[1]Residential!E$244)</f>
        <v>50.016883451970948</v>
      </c>
      <c r="J980" s="1">
        <f>[2]Residential!F$3-([2]Residential!F$10-[2]Residential!F$244)</f>
        <v>50.491599059185717</v>
      </c>
      <c r="K980" s="1">
        <f>[2]Residential!G$3-([2]Residential!G$10-[2]Residential!G$244)</f>
        <v>50.540450850409982</v>
      </c>
      <c r="L980" s="1">
        <f>[2]Residential!H$3-([2]Residential!H$10-[2]Residential!H$244)</f>
        <v>50.053492171878581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60.231828915783481</v>
      </c>
      <c r="G981" s="1">
        <f>SUM([1]Residential!C$16:C$17)</f>
        <v>51.320008617506552</v>
      </c>
      <c r="H981" s="1">
        <f>SUM([1]Residential!D$16:D$17)</f>
        <v>50.991284394842808</v>
      </c>
      <c r="I981" s="1">
        <f>SUM([1]Residential!E$16:E$17)</f>
        <v>33.332695651666882</v>
      </c>
      <c r="J981" s="1">
        <f>SUM([2]Residential!F$16:F$17)</f>
        <v>23.706408407073109</v>
      </c>
      <c r="K981" s="1">
        <f>SUM([2]Residential!G$16:G$17)</f>
        <v>17.718619550358817</v>
      </c>
      <c r="L981" s="1">
        <f>SUM([2]Residential!H$16:H$17)</f>
        <v>5.9195601109832747</v>
      </c>
      <c r="N981" s="1"/>
    </row>
    <row r="982" spans="2:14" x14ac:dyDescent="0.35">
      <c r="B982" s="5" t="str">
        <f t="shared" ref="B982:B993" si="1120">B981</f>
        <v>SPS1</v>
      </c>
      <c r="C982" s="5" t="str">
        <f t="shared" ref="C982:C993" si="1121">C981</f>
        <v>CH</v>
      </c>
      <c r="D982" t="s">
        <v>1004</v>
      </c>
      <c r="E982" t="s">
        <v>8</v>
      </c>
      <c r="F982" s="1">
        <f>[1]Residential!B$16</f>
        <v>60.231828915783481</v>
      </c>
      <c r="G982" s="1">
        <f>[1]Residential!C$16</f>
        <v>51.320008617506552</v>
      </c>
      <c r="H982" s="1">
        <f>[1]Residential!D$16</f>
        <v>50.991262938038375</v>
      </c>
      <c r="I982" s="1">
        <f>[1]Residential!E$16</f>
        <v>33.332629373233573</v>
      </c>
      <c r="J982" s="1">
        <f>[2]Residential!F$16</f>
        <v>23.706337461996636</v>
      </c>
      <c r="K982" s="1">
        <f>[2]Residential!G$16</f>
        <v>17.718593207632161</v>
      </c>
      <c r="L982" s="1">
        <f>[2]Residential!H$16</f>
        <v>5.9195421469355667</v>
      </c>
      <c r="N982" s="1"/>
    </row>
    <row r="983" spans="2:14" x14ac:dyDescent="0.35">
      <c r="B983" s="5" t="str">
        <f t="shared" si="1120"/>
        <v>SPS1</v>
      </c>
      <c r="C983" s="5" t="str">
        <f t="shared" si="1121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2.1456804431857636E-5</v>
      </c>
      <c r="I983" s="1">
        <f>[1]Residential!E$17</f>
        <v>6.627843330687327E-5</v>
      </c>
      <c r="J983" s="1">
        <f>[2]Residential!F$17</f>
        <v>7.0945076472903943E-5</v>
      </c>
      <c r="K983" s="1">
        <f>[2]Residential!G$17</f>
        <v>2.6342726657721377E-5</v>
      </c>
      <c r="L983" s="1">
        <f>[2]Residential!H$17</f>
        <v>1.7964047707683144E-5</v>
      </c>
      <c r="N983" s="1"/>
    </row>
    <row r="984" spans="2:14" x14ac:dyDescent="0.35">
      <c r="B984" s="5" t="str">
        <f t="shared" si="1120"/>
        <v>SPS1</v>
      </c>
      <c r="C984" s="5" t="str">
        <f t="shared" si="1121"/>
        <v>CH</v>
      </c>
      <c r="D984" t="s">
        <v>1006</v>
      </c>
      <c r="E984" t="s">
        <v>8</v>
      </c>
      <c r="F984" s="1">
        <f>SUM(F986,F988)</f>
        <v>50.37141726301806</v>
      </c>
      <c r="G984" s="1">
        <f t="shared" ref="G984:K984" si="1122">SUM(G986,G988)</f>
        <v>43.018247563402902</v>
      </c>
      <c r="H984" s="1">
        <f t="shared" si="1122"/>
        <v>41.712291036065039</v>
      </c>
      <c r="I984" s="1">
        <f t="shared" si="1122"/>
        <v>27.434962439871903</v>
      </c>
      <c r="J984" s="1">
        <f t="shared" si="1122"/>
        <v>19.599180222795002</v>
      </c>
      <c r="K984" s="1">
        <f t="shared" si="1122"/>
        <v>14.48604393647415</v>
      </c>
      <c r="L984" s="1">
        <f t="shared" ref="L984" si="1123">SUM(L986,L988)</f>
        <v>4.4729051285662234</v>
      </c>
      <c r="N984" s="1"/>
    </row>
    <row r="985" spans="2:14" x14ac:dyDescent="0.35">
      <c r="B985" s="5" t="str">
        <f t="shared" si="1120"/>
        <v>SPS1</v>
      </c>
      <c r="C985" s="5" t="str">
        <f t="shared" si="1121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50.37141726301806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43.018247563402902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41.712291036065039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27.434962439871903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19.599180222795002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14.48604393647415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4.4729051285662234</v>
      </c>
      <c r="N985" s="1"/>
    </row>
    <row r="986" spans="2:14" x14ac:dyDescent="0.35">
      <c r="B986" s="5" t="str">
        <f t="shared" si="1120"/>
        <v>SPS1</v>
      </c>
      <c r="C986" s="5" t="str">
        <f t="shared" si="1121"/>
        <v>CH</v>
      </c>
      <c r="D986" t="s">
        <v>1007</v>
      </c>
      <c r="E986" t="s">
        <v>8</v>
      </c>
      <c r="F986" s="1">
        <f>F987</f>
        <v>50.37141726301806</v>
      </c>
      <c r="G986" s="1">
        <f t="shared" ref="G986:L986" si="1124">G987</f>
        <v>43.018247563402902</v>
      </c>
      <c r="H986" s="1">
        <f t="shared" si="1124"/>
        <v>41.712273483801319</v>
      </c>
      <c r="I986" s="1">
        <f t="shared" si="1124"/>
        <v>27.43490788843846</v>
      </c>
      <c r="J986" s="1">
        <f t="shared" si="1124"/>
        <v>19.59912156923113</v>
      </c>
      <c r="K986" s="1">
        <f t="shared" si="1124"/>
        <v>14.486022399700664</v>
      </c>
      <c r="L986" s="1">
        <f t="shared" si="1124"/>
        <v>4.4728915546722821</v>
      </c>
      <c r="N986" s="1"/>
    </row>
    <row r="987" spans="2:14" x14ac:dyDescent="0.35">
      <c r="B987" s="5" t="str">
        <f t="shared" si="1120"/>
        <v>SPS1</v>
      </c>
      <c r="C987" s="5" t="str">
        <f t="shared" si="1121"/>
        <v>CH</v>
      </c>
      <c r="D987" t="s">
        <v>709</v>
      </c>
      <c r="E987" t="s">
        <v>8</v>
      </c>
      <c r="F987" s="1">
        <f>F985*IFERROR(F982/F981,0)</f>
        <v>50.37141726301806</v>
      </c>
      <c r="G987" s="1">
        <f t="shared" ref="G987:K987" si="1125">G985*IFERROR(G982/G981,0)</f>
        <v>43.018247563402902</v>
      </c>
      <c r="H987" s="1">
        <f t="shared" si="1125"/>
        <v>41.712273483801319</v>
      </c>
      <c r="I987" s="1">
        <f t="shared" si="1125"/>
        <v>27.43490788843846</v>
      </c>
      <c r="J987" s="1">
        <f t="shared" si="1125"/>
        <v>19.59912156923113</v>
      </c>
      <c r="K987" s="1">
        <f t="shared" si="1125"/>
        <v>14.486022399700664</v>
      </c>
      <c r="L987" s="1">
        <f t="shared" ref="L987" si="1126">L985*IFERROR(L982/L981,0)</f>
        <v>4.4728915546722821</v>
      </c>
      <c r="N987" s="1"/>
    </row>
    <row r="988" spans="2:14" x14ac:dyDescent="0.35">
      <c r="B988" s="5" t="str">
        <f t="shared" si="1120"/>
        <v>SPS1</v>
      </c>
      <c r="C988" s="5" t="str">
        <f t="shared" si="1121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7">G989</f>
        <v>0</v>
      </c>
      <c r="H988" s="1">
        <f t="shared" si="1127"/>
        <v>1.7552263720688188E-5</v>
      </c>
      <c r="I988" s="1">
        <f t="shared" si="1127"/>
        <v>5.4551433443350561E-5</v>
      </c>
      <c r="J988" s="1">
        <f t="shared" si="1127"/>
        <v>5.8653563872468339E-5</v>
      </c>
      <c r="K988" s="1">
        <f t="shared" si="1127"/>
        <v>2.1536773486374727E-5</v>
      </c>
      <c r="L988" s="1">
        <f t="shared" si="1127"/>
        <v>1.357389394129882E-5</v>
      </c>
      <c r="N988" s="1"/>
    </row>
    <row r="989" spans="2:14" x14ac:dyDescent="0.35">
      <c r="B989" s="5" t="str">
        <f t="shared" si="1120"/>
        <v>SPS1</v>
      </c>
      <c r="C989" s="5" t="str">
        <f t="shared" si="1121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8">G985-G987</f>
        <v>0</v>
      </c>
      <c r="H989" s="1">
        <f t="shared" si="1128"/>
        <v>1.7552263720688188E-5</v>
      </c>
      <c r="I989" s="1">
        <f t="shared" si="1128"/>
        <v>5.4551433443350561E-5</v>
      </c>
      <c r="J989" s="1">
        <f t="shared" si="1128"/>
        <v>5.8653563872468339E-5</v>
      </c>
      <c r="K989" s="1">
        <f t="shared" si="1128"/>
        <v>2.1536773486374727E-5</v>
      </c>
      <c r="L989" s="1">
        <f t="shared" ref="L989" si="1129">L985-L987</f>
        <v>1.357389394129882E-5</v>
      </c>
      <c r="N989" s="1"/>
    </row>
    <row r="990" spans="2:14" x14ac:dyDescent="0.35">
      <c r="B990" s="5" t="str">
        <f t="shared" si="1120"/>
        <v>SPS1</v>
      </c>
      <c r="C990" s="5" t="str">
        <f t="shared" si="1121"/>
        <v>CH</v>
      </c>
      <c r="D990" t="s">
        <v>1009</v>
      </c>
      <c r="E990" t="s">
        <v>8</v>
      </c>
      <c r="F990" s="1">
        <f>F991</f>
        <v>9.8604116527654213</v>
      </c>
      <c r="G990" s="1">
        <f t="shared" ref="G990:L990" si="1130">G991</f>
        <v>8.3017610541036557</v>
      </c>
      <c r="H990" s="1">
        <f t="shared" si="1130"/>
        <v>9.2789933587777718</v>
      </c>
      <c r="I990" s="1">
        <f t="shared" si="1130"/>
        <v>5.8977332117949812</v>
      </c>
      <c r="J990" s="1">
        <f t="shared" si="1130"/>
        <v>4.1072281842781058</v>
      </c>
      <c r="K990" s="1">
        <f t="shared" si="1130"/>
        <v>3.2325756138846664</v>
      </c>
      <c r="L990" s="1">
        <f t="shared" si="1130"/>
        <v>1.4466549824170496</v>
      </c>
      <c r="N990" s="1"/>
    </row>
    <row r="991" spans="2:14" x14ac:dyDescent="0.35">
      <c r="B991" s="5" t="str">
        <f t="shared" si="1120"/>
        <v>SPS1</v>
      </c>
      <c r="C991" s="5" t="str">
        <f t="shared" si="1121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9.8604116527654213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8.3017610541036557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9.2789933587777718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5.8977332117949812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4.1072281842781058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3.2325756138846664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1.4466549824170496</v>
      </c>
      <c r="N991" s="1"/>
    </row>
    <row r="992" spans="2:14" x14ac:dyDescent="0.35">
      <c r="B992" s="5" t="str">
        <f t="shared" si="1120"/>
        <v>SPS1</v>
      </c>
      <c r="C992" s="5" t="str">
        <f t="shared" si="1121"/>
        <v>CH</v>
      </c>
      <c r="D992" t="s">
        <v>712</v>
      </c>
      <c r="E992" t="s">
        <v>8</v>
      </c>
      <c r="F992" s="1">
        <f>IFERROR(F982/F981,0)*F991</f>
        <v>9.8604116527654213</v>
      </c>
      <c r="G992" s="1">
        <f t="shared" ref="G992:K992" si="1131">IFERROR(G982/G981,0)*G991</f>
        <v>8.3017610541036557</v>
      </c>
      <c r="H992" s="1">
        <f t="shared" si="1131"/>
        <v>9.2789894542370597</v>
      </c>
      <c r="I992" s="1">
        <f t="shared" si="1131"/>
        <v>5.8977214847951185</v>
      </c>
      <c r="J992" s="1">
        <f t="shared" si="1131"/>
        <v>4.107215892765506</v>
      </c>
      <c r="K992" s="1">
        <f t="shared" si="1131"/>
        <v>3.2325708079314968</v>
      </c>
      <c r="L992" s="1">
        <f t="shared" ref="L992" si="1132">IFERROR(L982/L981,0)*L991</f>
        <v>1.4466505922632824</v>
      </c>
      <c r="N992" s="1"/>
    </row>
    <row r="993" spans="2:14" x14ac:dyDescent="0.35">
      <c r="B993" s="5" t="str">
        <f t="shared" si="1120"/>
        <v>SPS1</v>
      </c>
      <c r="C993" s="5" t="str">
        <f t="shared" si="1121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3">G991-G992</f>
        <v>0</v>
      </c>
      <c r="H993" s="1">
        <f t="shared" si="1133"/>
        <v>3.904540712085236E-6</v>
      </c>
      <c r="I993" s="1">
        <f t="shared" si="1133"/>
        <v>1.1726999862737841E-5</v>
      </c>
      <c r="J993" s="1">
        <f t="shared" si="1133"/>
        <v>1.2291512599738041E-5</v>
      </c>
      <c r="K993" s="1">
        <f t="shared" si="1133"/>
        <v>4.8059531696509339E-6</v>
      </c>
      <c r="L993" s="1">
        <f t="shared" ref="L993" si="1134">L991-L992</f>
        <v>4.3901537671864332E-6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47.001919445206745</v>
      </c>
      <c r="G994" s="1">
        <f t="shared" ref="G994:K994" si="1135">SUM(G995:G996)</f>
        <v>47.59516920299118</v>
      </c>
      <c r="H994" s="1">
        <f t="shared" si="1135"/>
        <v>48.140007721848946</v>
      </c>
      <c r="I994" s="1">
        <f t="shared" si="1135"/>
        <v>43.564815244894859</v>
      </c>
      <c r="J994" s="1">
        <f t="shared" si="1135"/>
        <v>38.093517725980448</v>
      </c>
      <c r="K994" s="1">
        <f t="shared" si="1135"/>
        <v>32.780818773336776</v>
      </c>
      <c r="L994" s="1">
        <f t="shared" ref="L994" si="1136">SUM(L995:L996)</f>
        <v>23.842712215018413</v>
      </c>
      <c r="N994" s="1"/>
    </row>
    <row r="995" spans="2:14" x14ac:dyDescent="0.35">
      <c r="B995" s="5" t="str">
        <f t="shared" ref="B995:B1055" si="1137">B994</f>
        <v>SPS1</v>
      </c>
      <c r="C995" s="5" t="str">
        <f t="shared" ref="C995:C1055" si="1138">C994</f>
        <v>CH</v>
      </c>
      <c r="D995" t="s">
        <v>1010</v>
      </c>
      <c r="E995" t="s">
        <v>8</v>
      </c>
      <c r="F995" s="1">
        <f>[1]Residential!B$18</f>
        <v>46.691551575696771</v>
      </c>
      <c r="G995" s="1">
        <f>[1]Residential!C$18</f>
        <v>45.248017789277483</v>
      </c>
      <c r="H995" s="1">
        <f>[1]Residential!D$18</f>
        <v>47.61151836864952</v>
      </c>
      <c r="I995" s="1">
        <f>[1]Residential!E$18</f>
        <v>43.564118781118502</v>
      </c>
      <c r="J995" s="1">
        <f>[2]Residential!F$18</f>
        <v>38.09333971398457</v>
      </c>
      <c r="K995" s="1">
        <f>[2]Residential!G$18</f>
        <v>32.780799221629962</v>
      </c>
      <c r="L995" s="1">
        <f>[2]Residential!H$18</f>
        <v>23.842683366726021</v>
      </c>
      <c r="N995" s="1"/>
    </row>
    <row r="996" spans="2:14" x14ac:dyDescent="0.35">
      <c r="B996" s="5" t="str">
        <f t="shared" si="1137"/>
        <v>SPS1</v>
      </c>
      <c r="C996" s="5" t="str">
        <f t="shared" si="1138"/>
        <v>CH</v>
      </c>
      <c r="D996" t="s">
        <v>1011</v>
      </c>
      <c r="E996" t="s">
        <v>8</v>
      </c>
      <c r="F996" s="1">
        <f>[1]Residential!B$19</f>
        <v>0.31036786950997175</v>
      </c>
      <c r="G996" s="1">
        <f>[1]Residential!C$19</f>
        <v>2.3471514137136982</v>
      </c>
      <c r="H996" s="1">
        <f>[1]Residential!D$19</f>
        <v>0.52848935319942258</v>
      </c>
      <c r="I996" s="1">
        <f>[1]Residential!E$19</f>
        <v>6.9646377635419656E-4</v>
      </c>
      <c r="J996" s="1">
        <f>[2]Residential!F$19</f>
        <v>1.7801199587479715E-4</v>
      </c>
      <c r="K996" s="1">
        <f>[2]Residential!G$19</f>
        <v>1.9551706810759375E-5</v>
      </c>
      <c r="L996" s="1">
        <f>[2]Residential!H$19</f>
        <v>2.8848292391024223E-5</v>
      </c>
      <c r="N996" s="1"/>
    </row>
    <row r="997" spans="2:14" x14ac:dyDescent="0.35">
      <c r="B997" s="5" t="str">
        <f t="shared" si="1137"/>
        <v>SPS1</v>
      </c>
      <c r="C997" s="5" t="str">
        <f t="shared" si="1138"/>
        <v>CH</v>
      </c>
      <c r="D997" t="s">
        <v>1012</v>
      </c>
      <c r="E997" t="s">
        <v>8</v>
      </c>
      <c r="F997" s="1">
        <f>SUM(F998:F999)</f>
        <v>38.494651042753972</v>
      </c>
      <c r="G997" s="1">
        <f t="shared" ref="G997:K997" si="1139">SUM(G998:G999)</f>
        <v>40.763133000031907</v>
      </c>
      <c r="H997" s="1">
        <f t="shared" si="1139"/>
        <v>37.483968734874701</v>
      </c>
      <c r="I997" s="1">
        <f t="shared" si="1139"/>
        <v>34.487802728083921</v>
      </c>
      <c r="J997" s="1">
        <f t="shared" si="1139"/>
        <v>30.193569484822547</v>
      </c>
      <c r="K997" s="1">
        <f t="shared" si="1139"/>
        <v>25.66546867647105</v>
      </c>
      <c r="L997" s="1">
        <f t="shared" ref="L997" si="1140">SUM(L998:L999)</f>
        <v>18.148517629269364</v>
      </c>
      <c r="N997" s="1"/>
    </row>
    <row r="998" spans="2:14" x14ac:dyDescent="0.35">
      <c r="B998" s="5" t="str">
        <f t="shared" si="1137"/>
        <v>SPS1</v>
      </c>
      <c r="C998" s="5" t="str">
        <f t="shared" si="1138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38.494651042753972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40.763133000031907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35.111397345126321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29.583495280758637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23.675199408900845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17.95938685826162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8.2739116590120343</v>
      </c>
      <c r="N998" s="1"/>
    </row>
    <row r="999" spans="2:14" x14ac:dyDescent="0.35">
      <c r="B999" s="5" t="str">
        <f t="shared" si="1137"/>
        <v>SPS1</v>
      </c>
      <c r="C999" s="5" t="str">
        <f t="shared" si="1138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2.3725713897483827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4.9043074473252872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6.5183700759217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7.7060818182094284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9.8746059702573312</v>
      </c>
      <c r="N999" s="1"/>
    </row>
    <row r="1000" spans="2:14" x14ac:dyDescent="0.35">
      <c r="B1000" s="5" t="str">
        <f t="shared" si="1137"/>
        <v>SPS1</v>
      </c>
      <c r="C1000" s="5" t="str">
        <f t="shared" si="1138"/>
        <v>CH</v>
      </c>
      <c r="D1000" t="s">
        <v>1013</v>
      </c>
      <c r="E1000" t="s">
        <v>8</v>
      </c>
      <c r="F1000" s="1">
        <f>SUM(F1001:F1002)</f>
        <v>38.240459235851333</v>
      </c>
      <c r="G1000" s="1">
        <f t="shared" ref="G1000:K1000" si="1141">SUM(G1001:G1002)</f>
        <v>38.752902826453465</v>
      </c>
      <c r="H1000" s="1">
        <f t="shared" si="1141"/>
        <v>37.072463225642096</v>
      </c>
      <c r="I1000" s="1">
        <f t="shared" si="1141"/>
        <v>34.487251377063814</v>
      </c>
      <c r="J1000" s="1">
        <f t="shared" si="1141"/>
        <v>30.193428389489601</v>
      </c>
      <c r="K1000" s="1">
        <f t="shared" si="1141"/>
        <v>25.665453368625258</v>
      </c>
      <c r="L1000" s="1">
        <f t="shared" ref="L1000" si="1142">SUM(L1001:L1002)</f>
        <v>18.148495670620605</v>
      </c>
      <c r="N1000" s="1"/>
    </row>
    <row r="1001" spans="2:14" x14ac:dyDescent="0.35">
      <c r="B1001" s="5" t="str">
        <f t="shared" si="1137"/>
        <v>SPS1</v>
      </c>
      <c r="C1001" s="5" t="str">
        <f t="shared" si="1138"/>
        <v>CH</v>
      </c>
      <c r="D1001" t="s">
        <v>716</v>
      </c>
      <c r="E1001" t="s">
        <v>8</v>
      </c>
      <c r="F1001" s="1">
        <f>F998-F1004</f>
        <v>38.240459235851333</v>
      </c>
      <c r="G1001" s="1">
        <f t="shared" ref="G1001:K1001" si="1143">G998-G1004</f>
        <v>38.752902826453465</v>
      </c>
      <c r="H1001" s="1">
        <f t="shared" si="1143"/>
        <v>34.725938336061148</v>
      </c>
      <c r="I1001" s="1">
        <f t="shared" si="1143"/>
        <v>29.583022334122109</v>
      </c>
      <c r="J1001" s="1">
        <f t="shared" si="1143"/>
        <v>23.675088774080248</v>
      </c>
      <c r="K1001" s="1">
        <f t="shared" si="1143"/>
        <v>17.959376146611348</v>
      </c>
      <c r="L1001" s="1">
        <f t="shared" ref="L1001" si="1144">L998-L1004</f>
        <v>8.2739016480610736</v>
      </c>
      <c r="N1001" s="1"/>
    </row>
    <row r="1002" spans="2:14" x14ac:dyDescent="0.35">
      <c r="B1002" s="5" t="str">
        <f t="shared" si="1137"/>
        <v>SPS1</v>
      </c>
      <c r="C1002" s="5" t="str">
        <f t="shared" si="1138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5">G999-G1005</f>
        <v>0</v>
      </c>
      <c r="H1002" s="1">
        <f t="shared" si="1145"/>
        <v>2.3465248895809454</v>
      </c>
      <c r="I1002" s="1">
        <f t="shared" si="1145"/>
        <v>4.9042290429417044</v>
      </c>
      <c r="J1002" s="1">
        <f t="shared" si="1145"/>
        <v>6.518339615409352</v>
      </c>
      <c r="K1002" s="1">
        <f t="shared" si="1145"/>
        <v>7.7060772220139091</v>
      </c>
      <c r="L1002" s="1">
        <f t="shared" ref="L1002" si="1146">L999-L1005</f>
        <v>9.8745940225595312</v>
      </c>
      <c r="N1002" s="1"/>
    </row>
    <row r="1003" spans="2:14" x14ac:dyDescent="0.35">
      <c r="B1003" s="5" t="str">
        <f t="shared" si="1137"/>
        <v>SPS1</v>
      </c>
      <c r="C1003" s="5" t="str">
        <f t="shared" si="1138"/>
        <v>CH</v>
      </c>
      <c r="D1003" t="s">
        <v>1014</v>
      </c>
      <c r="E1003" t="s">
        <v>8</v>
      </c>
      <c r="F1003" s="1">
        <f>SUM(F1004:F1005)</f>
        <v>0.25419180690263848</v>
      </c>
      <c r="G1003" s="1">
        <f t="shared" ref="G1003:K1003" si="1147">SUM(G1004:G1005)</f>
        <v>2.0102301735784445</v>
      </c>
      <c r="H1003" s="1">
        <f t="shared" si="1147"/>
        <v>0.4115055092326117</v>
      </c>
      <c r="I1003" s="1">
        <f t="shared" si="1147"/>
        <v>5.5135102010961964E-4</v>
      </c>
      <c r="J1003" s="1">
        <f t="shared" si="1147"/>
        <v>1.4109533294458419E-4</v>
      </c>
      <c r="K1003" s="1">
        <f t="shared" si="1147"/>
        <v>1.530784579216328E-5</v>
      </c>
      <c r="L1003" s="1">
        <f t="shared" ref="L1003" si="1148">SUM(L1004:L1005)</f>
        <v>2.1958648760732699E-5</v>
      </c>
      <c r="N1003" s="1"/>
    </row>
    <row r="1004" spans="2:14" x14ac:dyDescent="0.35">
      <c r="B1004" s="5" t="str">
        <f t="shared" si="1137"/>
        <v>SPS1</v>
      </c>
      <c r="C1004" s="5" t="str">
        <f t="shared" si="1138"/>
        <v>CH</v>
      </c>
      <c r="D1004" t="s">
        <v>717</v>
      </c>
      <c r="E1004" t="s">
        <v>8</v>
      </c>
      <c r="F1004" s="1">
        <f>F998*IFERROR(F$996/F$994,0)</f>
        <v>0.25419180690263848</v>
      </c>
      <c r="G1004" s="1">
        <f t="shared" ref="G1004:K1004" si="1149">G998*IFERROR(G996/G994,0)</f>
        <v>2.0102301735784445</v>
      </c>
      <c r="H1004" s="1">
        <f t="shared" si="1149"/>
        <v>0.38545900906517427</v>
      </c>
      <c r="I1004" s="1">
        <f t="shared" si="1149"/>
        <v>4.7294663652701179E-4</v>
      </c>
      <c r="J1004" s="1">
        <f t="shared" si="1149"/>
        <v>1.1063482059673146E-4</v>
      </c>
      <c r="K1004" s="1">
        <f t="shared" si="1149"/>
        <v>1.0711650272730322E-5</v>
      </c>
      <c r="L1004" s="1">
        <f t="shared" ref="L1004" si="1150">L998*IFERROR(L996/L994,0)</f>
        <v>1.0010950960786034E-5</v>
      </c>
      <c r="N1004" s="1"/>
    </row>
    <row r="1005" spans="2:14" x14ac:dyDescent="0.35">
      <c r="B1005" s="5" t="str">
        <f t="shared" si="1137"/>
        <v>SPS1</v>
      </c>
      <c r="C1005" s="5" t="str">
        <f t="shared" si="1138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1">G999*IFERROR(G$996/G$994,0)</f>
        <v>0</v>
      </c>
      <c r="H1005" s="1">
        <f t="shared" si="1151"/>
        <v>2.6046500167437432E-2</v>
      </c>
      <c r="I1005" s="1">
        <f t="shared" si="1151"/>
        <v>7.840438358260786E-5</v>
      </c>
      <c r="J1005" s="1">
        <f t="shared" si="1151"/>
        <v>3.0460512347852742E-5</v>
      </c>
      <c r="K1005" s="1">
        <f t="shared" si="1151"/>
        <v>4.5961955194329572E-6</v>
      </c>
      <c r="L1005" s="1">
        <f t="shared" ref="L1005" si="1152">L999*IFERROR(L$996/L$994,0)</f>
        <v>1.1947697799946664E-5</v>
      </c>
      <c r="N1005" s="1"/>
    </row>
    <row r="1006" spans="2:14" x14ac:dyDescent="0.35">
      <c r="B1006" s="5" t="str">
        <f t="shared" si="1137"/>
        <v>SPS1</v>
      </c>
      <c r="C1006" s="5" t="str">
        <f t="shared" si="1138"/>
        <v>CH</v>
      </c>
      <c r="D1006" t="s">
        <v>1015</v>
      </c>
      <c r="E1006" t="s">
        <v>8</v>
      </c>
      <c r="F1006" s="1">
        <f>SUM(F1007:F1008)</f>
        <v>8.5072684024527732</v>
      </c>
      <c r="G1006" s="1">
        <f t="shared" ref="G1006:K1006" si="1153">SUM(G1007:G1008)</f>
        <v>6.8320362029592729</v>
      </c>
      <c r="H1006" s="1">
        <f t="shared" si="1153"/>
        <v>10.656038986974242</v>
      </c>
      <c r="I1006" s="1">
        <f t="shared" si="1153"/>
        <v>9.0770125168109352</v>
      </c>
      <c r="J1006" s="1">
        <f t="shared" si="1153"/>
        <v>7.8999482411579027</v>
      </c>
      <c r="K1006" s="1">
        <f t="shared" si="1153"/>
        <v>7.1153500968657273</v>
      </c>
      <c r="L1006" s="1">
        <f t="shared" ref="L1006" si="1154">SUM(L1007:L1008)</f>
        <v>5.694194585749047</v>
      </c>
      <c r="M1006" s="19"/>
      <c r="N1006" s="1"/>
    </row>
    <row r="1007" spans="2:14" x14ac:dyDescent="0.35">
      <c r="B1007" s="5" t="str">
        <f t="shared" si="1137"/>
        <v>SPS1</v>
      </c>
      <c r="C1007" s="5" t="str">
        <f t="shared" si="1138"/>
        <v>CH</v>
      </c>
      <c r="D1007" t="s">
        <v>719</v>
      </c>
      <c r="E1007" t="s">
        <v>8</v>
      </c>
      <c r="F1007" s="1">
        <f>F994-F998-F999-F1008</f>
        <v>8.5072684024527732</v>
      </c>
      <c r="G1007" s="1">
        <f t="shared" ref="G1007:K1007" si="1155">G994-G998-G999-G1008</f>
        <v>6.8320362029592729</v>
      </c>
      <c r="H1007" s="1">
        <f t="shared" si="1155"/>
        <v>10.207668215383146</v>
      </c>
      <c r="I1007" s="1">
        <f t="shared" si="1155"/>
        <v>8.0658948268606228</v>
      </c>
      <c r="J1007" s="1">
        <f t="shared" si="1155"/>
        <v>6.4605047794891712</v>
      </c>
      <c r="K1007" s="1">
        <f t="shared" si="1155"/>
        <v>5.3314479922690809</v>
      </c>
      <c r="L1007" s="1">
        <f t="shared" ref="L1007" si="1156">L994-L998-L999-L1008</f>
        <v>3.2845662748991264</v>
      </c>
      <c r="N1007" s="1"/>
    </row>
    <row r="1008" spans="2:14" x14ac:dyDescent="0.35">
      <c r="B1008" s="5" t="str">
        <f t="shared" si="1137"/>
        <v>SPS1</v>
      </c>
      <c r="C1008" s="5" t="str">
        <f t="shared" si="1138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0.44837077159109606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1.0111176899503123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1.4394434616687313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1.7839021045966461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2.4096283108499206</v>
      </c>
      <c r="N1008" s="1"/>
    </row>
    <row r="1009" spans="2:14" x14ac:dyDescent="0.35">
      <c r="B1009" s="5" t="str">
        <f t="shared" si="1137"/>
        <v>SPS1</v>
      </c>
      <c r="C1009" s="5" t="str">
        <f t="shared" si="1138"/>
        <v>CH</v>
      </c>
      <c r="D1009" t="s">
        <v>1016</v>
      </c>
      <c r="E1009" t="s">
        <v>8</v>
      </c>
      <c r="F1009" s="1">
        <f>SUM(F1010:F1011)</f>
        <v>8.4510923398454398</v>
      </c>
      <c r="G1009" s="1">
        <f t="shared" ref="G1009:K1009" si="1157">SUM(G1010:G1011)</f>
        <v>6.4951149628240188</v>
      </c>
      <c r="H1009" s="1">
        <f t="shared" si="1157"/>
        <v>10.539055143007431</v>
      </c>
      <c r="I1009" s="1">
        <f t="shared" si="1157"/>
        <v>9.0768674040546902</v>
      </c>
      <c r="J1009" s="1">
        <f t="shared" si="1157"/>
        <v>7.8999113244949726</v>
      </c>
      <c r="K1009" s="1">
        <f t="shared" si="1157"/>
        <v>7.1153458530047091</v>
      </c>
      <c r="L1009" s="1">
        <f t="shared" ref="L1009" si="1158">SUM(L1010:L1011)</f>
        <v>5.6941876961054163</v>
      </c>
      <c r="N1009" s="1"/>
    </row>
    <row r="1010" spans="2:14" x14ac:dyDescent="0.35">
      <c r="B1010" s="5" t="str">
        <f t="shared" si="1137"/>
        <v>SPS1</v>
      </c>
      <c r="C1010" s="5" t="str">
        <f t="shared" si="1138"/>
        <v>CH</v>
      </c>
      <c r="D1010" t="s">
        <v>718</v>
      </c>
      <c r="E1010" t="s">
        <v>8</v>
      </c>
      <c r="F1010" s="1">
        <f>F1007-F1013</f>
        <v>8.4510923398454398</v>
      </c>
      <c r="G1010" s="1">
        <f t="shared" ref="G1010:K1010" si="1159">G1007-G1013</f>
        <v>6.4951149628240188</v>
      </c>
      <c r="H1010" s="1">
        <f t="shared" si="1159"/>
        <v>10.095606663503217</v>
      </c>
      <c r="I1010" s="1">
        <f t="shared" si="1159"/>
        <v>8.0657658786821624</v>
      </c>
      <c r="J1010" s="1">
        <f t="shared" si="1159"/>
        <v>6.4604745893828541</v>
      </c>
      <c r="K1010" s="1">
        <f t="shared" si="1159"/>
        <v>5.3314448123940226</v>
      </c>
      <c r="L1010" s="1">
        <f t="shared" ref="L1010" si="1160">L1007-L1013</f>
        <v>3.284562300765336</v>
      </c>
      <c r="N1010" s="1"/>
    </row>
    <row r="1011" spans="2:14" x14ac:dyDescent="0.35">
      <c r="B1011" s="5" t="str">
        <f t="shared" si="1137"/>
        <v>SPS1</v>
      </c>
      <c r="C1011" s="5" t="str">
        <f t="shared" si="1138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1">G1008-G1014</f>
        <v>0</v>
      </c>
      <c r="H1011" s="1">
        <f t="shared" si="1161"/>
        <v>0.4434484795042139</v>
      </c>
      <c r="I1011" s="1">
        <f t="shared" si="1161"/>
        <v>1.011101525372528</v>
      </c>
      <c r="J1011" s="1">
        <f t="shared" si="1161"/>
        <v>1.4394367351121187</v>
      </c>
      <c r="K1011" s="1">
        <f t="shared" si="1161"/>
        <v>1.7839010406106863</v>
      </c>
      <c r="L1011" s="1">
        <f t="shared" ref="L1011" si="1162">L1008-L1014</f>
        <v>2.4096253953400808</v>
      </c>
      <c r="N1011" s="1"/>
    </row>
    <row r="1012" spans="2:14" x14ac:dyDescent="0.35">
      <c r="B1012" s="5" t="str">
        <f t="shared" si="1137"/>
        <v>SPS1</v>
      </c>
      <c r="C1012" s="5" t="str">
        <f t="shared" si="1138"/>
        <v>CH</v>
      </c>
      <c r="D1012" t="s">
        <v>1017</v>
      </c>
      <c r="E1012" t="s">
        <v>8</v>
      </c>
      <c r="F1012" s="1">
        <f t="shared" ref="F1012:K1012" si="1163">SUM(F1013:F1014)</f>
        <v>5.6176062607333245E-2</v>
      </c>
      <c r="G1012" s="1">
        <f t="shared" si="1163"/>
        <v>0.33692124013525376</v>
      </c>
      <c r="H1012" s="1">
        <f t="shared" si="1163"/>
        <v>0.11698384396681087</v>
      </c>
      <c r="I1012" s="1">
        <f t="shared" si="1163"/>
        <v>1.4511275624457686E-4</v>
      </c>
      <c r="J1012" s="1">
        <f t="shared" si="1163"/>
        <v>3.6916662930212926E-5</v>
      </c>
      <c r="K1012" s="1">
        <f t="shared" si="1163"/>
        <v>4.2438610185960952E-6</v>
      </c>
      <c r="L1012" s="1">
        <f t="shared" ref="L1012" si="1164">SUM(L1013:L1014)</f>
        <v>6.889643630291526E-6</v>
      </c>
      <c r="N1012" s="1"/>
    </row>
    <row r="1013" spans="2:14" x14ac:dyDescent="0.35">
      <c r="B1013" s="5" t="str">
        <f t="shared" si="1137"/>
        <v>SPS1</v>
      </c>
      <c r="C1013" s="5" t="str">
        <f t="shared" si="1138"/>
        <v>CH</v>
      </c>
      <c r="D1013" t="s">
        <v>738</v>
      </c>
      <c r="E1013" t="s">
        <v>8</v>
      </c>
      <c r="F1013" s="1">
        <f>F1007*IFERROR(F$996/F$994,0)</f>
        <v>5.6176062607333245E-2</v>
      </c>
      <c r="G1013" s="1">
        <f t="shared" ref="G1013:K1013" si="1165">G1007*IFERROR(G$996/G$994,0)</f>
        <v>0.33692124013525376</v>
      </c>
      <c r="H1013" s="1">
        <f t="shared" si="1165"/>
        <v>0.11206155187992868</v>
      </c>
      <c r="I1013" s="1">
        <f t="shared" si="1165"/>
        <v>1.2894817846035572E-4</v>
      </c>
      <c r="J1013" s="1">
        <f t="shared" si="1165"/>
        <v>3.0190106317516091E-5</v>
      </c>
      <c r="K1013" s="1">
        <f t="shared" si="1165"/>
        <v>3.1798750587170356E-6</v>
      </c>
      <c r="L1013" s="1">
        <f t="shared" ref="L1013" si="1166">L1007*IFERROR(L$996/L$994,0)</f>
        <v>3.9741337907145508E-6</v>
      </c>
      <c r="N1013" s="1"/>
    </row>
    <row r="1014" spans="2:14" x14ac:dyDescent="0.35">
      <c r="B1014" s="5" t="str">
        <f t="shared" si="1137"/>
        <v>SPS1</v>
      </c>
      <c r="C1014" s="5" t="str">
        <f t="shared" si="1138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7">G1008*IFERROR(G$996/G$994,0)</f>
        <v>0</v>
      </c>
      <c r="H1014" s="1">
        <f t="shared" si="1167"/>
        <v>4.9222920868821855E-3</v>
      </c>
      <c r="I1014" s="1">
        <f t="shared" si="1167"/>
        <v>1.6164577784221146E-5</v>
      </c>
      <c r="J1014" s="1">
        <f t="shared" si="1167"/>
        <v>6.7265566126968352E-6</v>
      </c>
      <c r="K1014" s="1">
        <f t="shared" si="1167"/>
        <v>1.0639859598790596E-6</v>
      </c>
      <c r="L1014" s="1">
        <f t="shared" ref="L1014" si="1168">L1008*IFERROR(L$996/L$994,0)</f>
        <v>2.9155098395769752E-6</v>
      </c>
      <c r="N1014" s="1"/>
    </row>
    <row r="1015" spans="2:14" x14ac:dyDescent="0.35">
      <c r="B1015" s="5" t="str">
        <f t="shared" si="1137"/>
        <v>SPS1</v>
      </c>
      <c r="C1015" s="5" t="str">
        <f t="shared" si="1138"/>
        <v>CH</v>
      </c>
      <c r="D1015" t="s">
        <v>1018</v>
      </c>
      <c r="E1015" t="s">
        <v>8</v>
      </c>
      <c r="F1015" s="1">
        <f>[1]Residential!B$20</f>
        <v>0.10000087481723838</v>
      </c>
      <c r="G1015" s="1">
        <f>[1]Residential!C$20</f>
        <v>0.10000064147796808</v>
      </c>
      <c r="H1015" s="1">
        <f>[1]Residential!D$20</f>
        <v>2.6953289373847958E-2</v>
      </c>
      <c r="I1015" s="1">
        <f>[1]Residential!E$20</f>
        <v>6.0615561167295905E-3</v>
      </c>
      <c r="J1015" s="1">
        <f>[2]Residential!F$20</f>
        <v>2.2736032524852179E-4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7"/>
        <v>SPS1</v>
      </c>
      <c r="C1016" s="5" t="str">
        <f t="shared" si="1138"/>
        <v>CH</v>
      </c>
      <c r="D1016" t="s">
        <v>1019</v>
      </c>
      <c r="E1016" t="s">
        <v>8</v>
      </c>
      <c r="F1016" s="1">
        <f>F1015</f>
        <v>0.10000087481723838</v>
      </c>
      <c r="G1016" s="1">
        <f t="shared" ref="G1016:G1017" si="1169">G1015</f>
        <v>0.10000064147796808</v>
      </c>
      <c r="H1016" s="1">
        <f t="shared" ref="H1016:H1017" si="1170">H1015</f>
        <v>2.6953289373847958E-2</v>
      </c>
      <c r="I1016" s="1">
        <f t="shared" ref="I1016:I1017" si="1171">I1015</f>
        <v>6.0615561167295905E-3</v>
      </c>
      <c r="J1016" s="1">
        <f t="shared" ref="J1016:J1017" si="1172">J1015</f>
        <v>2.2736032524852179E-4</v>
      </c>
      <c r="K1016" s="1">
        <f t="shared" ref="K1016:L1017" si="1173">K1015</f>
        <v>0</v>
      </c>
      <c r="L1016" s="1">
        <f t="shared" si="1173"/>
        <v>0</v>
      </c>
      <c r="N1016" s="1"/>
    </row>
    <row r="1017" spans="2:14" x14ac:dyDescent="0.35">
      <c r="B1017" s="5" t="str">
        <f t="shared" si="1137"/>
        <v>SPS1</v>
      </c>
      <c r="C1017" s="5" t="str">
        <f t="shared" si="1138"/>
        <v>CH</v>
      </c>
      <c r="D1017" t="s">
        <v>764</v>
      </c>
      <c r="E1017" t="s">
        <v>8</v>
      </c>
      <c r="F1017" s="1">
        <f t="shared" ref="F1017" si="1174">F1016</f>
        <v>0.10000087481723838</v>
      </c>
      <c r="G1017" s="1">
        <f t="shared" si="1169"/>
        <v>0.10000064147796808</v>
      </c>
      <c r="H1017" s="1">
        <f t="shared" si="1170"/>
        <v>2.6953289373847958E-2</v>
      </c>
      <c r="I1017" s="1">
        <f t="shared" si="1171"/>
        <v>6.0615561167295905E-3</v>
      </c>
      <c r="J1017" s="1">
        <f t="shared" si="1172"/>
        <v>2.2736032524852179E-4</v>
      </c>
      <c r="K1017" s="1">
        <f t="shared" si="1173"/>
        <v>0</v>
      </c>
      <c r="L1017" s="1">
        <f t="shared" si="1173"/>
        <v>0</v>
      </c>
      <c r="N1017" s="1"/>
    </row>
    <row r="1018" spans="2:14" x14ac:dyDescent="0.35">
      <c r="B1018" s="5" t="str">
        <f t="shared" si="1137"/>
        <v>SPS1</v>
      </c>
      <c r="C1018" s="5" t="str">
        <f t="shared" si="1138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7"/>
        <v>SPS1</v>
      </c>
      <c r="C1019" s="5" t="str">
        <f t="shared" si="1138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7"/>
        <v>SPS1</v>
      </c>
      <c r="C1020" s="5" t="str">
        <f t="shared" si="1138"/>
        <v>CH</v>
      </c>
      <c r="D1020" t="s">
        <v>1021</v>
      </c>
      <c r="E1020" t="s">
        <v>8</v>
      </c>
      <c r="F1020" s="1">
        <f>F1021+F1023</f>
        <v>13.722996182627355</v>
      </c>
      <c r="G1020" s="1">
        <f t="shared" ref="G1020:K1020" si="1175">G1021+G1023</f>
        <v>13.882341117139855</v>
      </c>
      <c r="H1020" s="1">
        <f t="shared" si="1175"/>
        <v>16.367566608176805</v>
      </c>
      <c r="I1020" s="1">
        <f t="shared" si="1175"/>
        <v>15.497574588526556</v>
      </c>
      <c r="J1020" s="1">
        <f t="shared" si="1175"/>
        <v>13.993117026244597</v>
      </c>
      <c r="K1020" s="1">
        <f t="shared" si="1175"/>
        <v>12.744309785729154</v>
      </c>
      <c r="L1020" s="1">
        <f t="shared" ref="L1020" si="1176">L1021+L1023</f>
        <v>10.108043136321891</v>
      </c>
      <c r="N1020" s="1"/>
    </row>
    <row r="1021" spans="2:14" x14ac:dyDescent="0.35">
      <c r="B1021" s="5" t="str">
        <f t="shared" si="1137"/>
        <v>SPS1</v>
      </c>
      <c r="C1021" s="5" t="str">
        <f t="shared" si="1138"/>
        <v>CH</v>
      </c>
      <c r="D1021" t="s">
        <v>1022</v>
      </c>
      <c r="E1021" t="s">
        <v>8</v>
      </c>
      <c r="F1021" s="1">
        <f>F1022</f>
        <v>12.682051454853426</v>
      </c>
      <c r="G1021" s="1">
        <f t="shared" ref="G1021:L1021" si="1177">G1022</f>
        <v>12.687857887863736</v>
      </c>
      <c r="H1021" s="1">
        <f t="shared" si="1177"/>
        <v>13.725598687135248</v>
      </c>
      <c r="I1021" s="1">
        <f t="shared" si="1177"/>
        <v>12.757077890946636</v>
      </c>
      <c r="J1021" s="1">
        <f t="shared" si="1177"/>
        <v>11.307152009331151</v>
      </c>
      <c r="K1021" s="1">
        <f t="shared" si="1177"/>
        <v>10.068100539613985</v>
      </c>
      <c r="L1021" s="1">
        <f t="shared" si="1177"/>
        <v>7.5896861667475068</v>
      </c>
      <c r="N1021" s="1"/>
    </row>
    <row r="1022" spans="2:14" x14ac:dyDescent="0.35">
      <c r="B1022" s="5" t="str">
        <f t="shared" si="1137"/>
        <v>SPS1</v>
      </c>
      <c r="C1022" s="5" t="str">
        <f t="shared" si="1138"/>
        <v>CH</v>
      </c>
      <c r="D1022" t="s">
        <v>766</v>
      </c>
      <c r="E1022" t="s">
        <v>8</v>
      </c>
      <c r="F1022" s="1">
        <f>[1]Residential!B$22-F1024-F1025</f>
        <v>12.682051454853426</v>
      </c>
      <c r="G1022" s="1">
        <f>[1]Residential!C$22-G1024-G1025</f>
        <v>12.687857887863736</v>
      </c>
      <c r="H1022" s="1">
        <f>[1]Residential!D$22-H1024-H1025</f>
        <v>13.725598687135248</v>
      </c>
      <c r="I1022" s="1">
        <f>[1]Residential!E$22-I1024-I1025</f>
        <v>12.757077890946636</v>
      </c>
      <c r="J1022" s="1">
        <f>[2]Residential!F$22-J1024-J1025</f>
        <v>11.307152009331151</v>
      </c>
      <c r="K1022" s="1">
        <f>[2]Residential!G$22-K1024-K1025</f>
        <v>10.068100539613985</v>
      </c>
      <c r="L1022" s="1">
        <f>[2]Residential!H$22-L1024-L1025</f>
        <v>7.5896861667475068</v>
      </c>
      <c r="N1022" s="1"/>
    </row>
    <row r="1023" spans="2:14" x14ac:dyDescent="0.35">
      <c r="B1023" s="5" t="str">
        <f t="shared" si="1137"/>
        <v>SPS1</v>
      </c>
      <c r="C1023" s="5" t="str">
        <f t="shared" si="1138"/>
        <v>CH</v>
      </c>
      <c r="D1023" t="s">
        <v>1023</v>
      </c>
      <c r="E1023" t="s">
        <v>8</v>
      </c>
      <c r="F1023" s="1">
        <f>F1024</f>
        <v>1.0409447277739288</v>
      </c>
      <c r="G1023" s="1">
        <f t="shared" ref="G1023" si="1178">G1024</f>
        <v>1.1944832292761201</v>
      </c>
      <c r="H1023" s="1">
        <f t="shared" ref="H1023" si="1179">H1024</f>
        <v>2.6419679210415565</v>
      </c>
      <c r="I1023" s="1">
        <f t="shared" ref="I1023" si="1180">I1024</f>
        <v>2.740496697579919</v>
      </c>
      <c r="J1023" s="1">
        <f t="shared" ref="J1023" si="1181">J1024</f>
        <v>2.6859650169134457</v>
      </c>
      <c r="K1023" s="1">
        <f t="shared" ref="K1023:L1023" si="1182">K1024</f>
        <v>2.6762092461151687</v>
      </c>
      <c r="L1023" s="1">
        <f t="shared" si="1182"/>
        <v>2.5183569695743846</v>
      </c>
      <c r="N1023" s="1"/>
    </row>
    <row r="1024" spans="2:14" x14ac:dyDescent="0.35">
      <c r="B1024" s="5" t="str">
        <f t="shared" si="1137"/>
        <v>SPS1</v>
      </c>
      <c r="C1024" s="5" t="str">
        <f t="shared" si="1138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1.0409447277739288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1.1944832292761201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2.6419679210415565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2.740496697579919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2.6859650169134457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2.6762092461151687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2.5183569695743846</v>
      </c>
      <c r="N1024" s="1"/>
    </row>
    <row r="1025" spans="2:14" x14ac:dyDescent="0.35">
      <c r="B1025" s="5" t="str">
        <f t="shared" si="1137"/>
        <v>SPS1</v>
      </c>
      <c r="C1025" s="5" t="str">
        <f t="shared" si="1138"/>
        <v>CH</v>
      </c>
      <c r="D1025" t="s">
        <v>1024</v>
      </c>
      <c r="E1025" t="s">
        <v>8</v>
      </c>
      <c r="F1025" s="1">
        <f>F1026+F1028</f>
        <v>3.2682136058828695</v>
      </c>
      <c r="G1025" s="1">
        <f t="shared" ref="G1025:K1025" si="1183">G1026+G1028</f>
        <v>3.831986286663092</v>
      </c>
      <c r="H1025" s="1">
        <f t="shared" si="1183"/>
        <v>0.64122617001259374</v>
      </c>
      <c r="I1025" s="1">
        <f t="shared" si="1183"/>
        <v>1.0213248369986569</v>
      </c>
      <c r="J1025" s="1">
        <f t="shared" si="1183"/>
        <v>1.2524056499840184</v>
      </c>
      <c r="K1025" s="1">
        <f t="shared" si="1183"/>
        <v>1.456694032275142</v>
      </c>
      <c r="L1025" s="1">
        <f t="shared" ref="L1025" si="1184">L1026+L1028</f>
        <v>1.8205295810872504</v>
      </c>
      <c r="N1025" s="1"/>
    </row>
    <row r="1026" spans="2:14" x14ac:dyDescent="0.35">
      <c r="B1026" s="5" t="str">
        <f t="shared" si="1137"/>
        <v>SPS1</v>
      </c>
      <c r="C1026" s="5" t="str">
        <f t="shared" si="1138"/>
        <v>CH</v>
      </c>
      <c r="D1026" t="s">
        <v>1025</v>
      </c>
      <c r="E1026" t="s">
        <v>8</v>
      </c>
      <c r="F1026" s="1">
        <f>F1027</f>
        <v>2.9965429452273673</v>
      </c>
      <c r="G1026" s="1">
        <f t="shared" ref="G1026:L1026" si="1185">G1027</f>
        <v>3.5202467265155661</v>
      </c>
      <c r="H1026" s="1">
        <f t="shared" si="1185"/>
        <v>0.4594457745263103</v>
      </c>
      <c r="I1026" s="1">
        <f t="shared" si="1185"/>
        <v>0.72115671388791602</v>
      </c>
      <c r="J1026" s="1">
        <f t="shared" si="1185"/>
        <v>0.86327367488494222</v>
      </c>
      <c r="K1026" s="1">
        <f t="shared" si="1185"/>
        <v>0.98715526650441499</v>
      </c>
      <c r="L1026" s="1">
        <f t="shared" si="1185"/>
        <v>1.191587964329923</v>
      </c>
      <c r="N1026" s="1"/>
    </row>
    <row r="1027" spans="2:14" x14ac:dyDescent="0.35">
      <c r="B1027" s="5" t="str">
        <f t="shared" si="1137"/>
        <v>SPS1</v>
      </c>
      <c r="C1027" s="5" t="str">
        <f t="shared" si="1138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2.9965429452273673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3.5202467265155661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0.4594457745263103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0.72115671388791602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0.86327367488494222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0.98715526650441499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1.191587964329923</v>
      </c>
      <c r="N1027" s="1"/>
    </row>
    <row r="1028" spans="2:14" x14ac:dyDescent="0.35">
      <c r="B1028" s="5" t="str">
        <f t="shared" si="1137"/>
        <v>SPS1</v>
      </c>
      <c r="C1028" s="5" t="str">
        <f t="shared" si="1138"/>
        <v>CH</v>
      </c>
      <c r="D1028" t="s">
        <v>1026</v>
      </c>
      <c r="E1028" t="s">
        <v>8</v>
      </c>
      <c r="F1028" s="1">
        <f>F1029</f>
        <v>0.27167066065550233</v>
      </c>
      <c r="G1028" s="1">
        <f t="shared" ref="G1028:L1028" si="1186">G1029</f>
        <v>0.31173956014752607</v>
      </c>
      <c r="H1028" s="1">
        <f t="shared" si="1186"/>
        <v>0.18178039548628347</v>
      </c>
      <c r="I1028" s="1">
        <f t="shared" si="1186"/>
        <v>0.30016812311074098</v>
      </c>
      <c r="J1028" s="1">
        <f t="shared" si="1186"/>
        <v>0.38913197509907616</v>
      </c>
      <c r="K1028" s="1">
        <f t="shared" si="1186"/>
        <v>0.46953876577072701</v>
      </c>
      <c r="L1028" s="1">
        <f t="shared" si="1186"/>
        <v>0.62894161675732752</v>
      </c>
      <c r="N1028" s="1"/>
    </row>
    <row r="1029" spans="2:14" x14ac:dyDescent="0.35">
      <c r="B1029" s="5" t="str">
        <f t="shared" si="1137"/>
        <v>SPS1</v>
      </c>
      <c r="C1029" s="5" t="str">
        <f t="shared" si="1138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0.27167066065550233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0.31173956014752607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0.18178039548628347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0.30016812311074098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0.38913197509907616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0.46953876577072701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0.62894161675732752</v>
      </c>
      <c r="N1029" s="1"/>
    </row>
    <row r="1030" spans="2:14" x14ac:dyDescent="0.35">
      <c r="B1030" s="5" t="str">
        <f t="shared" si="1137"/>
        <v>SPS1</v>
      </c>
      <c r="C1030" s="5" t="str">
        <f t="shared" si="1138"/>
        <v>CH</v>
      </c>
      <c r="D1030" t="s">
        <v>1027</v>
      </c>
      <c r="E1030" t="s">
        <v>8</v>
      </c>
      <c r="F1030" s="1">
        <f>[1]Residential!B$23</f>
        <v>2.5068274400828376</v>
      </c>
      <c r="G1030" s="1">
        <f>[1]Residential!C$23</f>
        <v>2.9280139363750326</v>
      </c>
      <c r="H1030" s="1">
        <f>[1]Residential!D$23</f>
        <v>0.93532387787510463</v>
      </c>
      <c r="I1030" s="1">
        <f>[1]Residential!E$23</f>
        <v>1.1101405338707628</v>
      </c>
      <c r="J1030" s="1">
        <f>[2]Residential!F$23</f>
        <v>1.2302918259808857</v>
      </c>
      <c r="K1030" s="1">
        <f>[2]Residential!G$23</f>
        <v>1.3250160230294272</v>
      </c>
      <c r="L1030" s="1">
        <f>[2]Residential!H$23</f>
        <v>1.5245298259725975</v>
      </c>
      <c r="N1030" s="1"/>
    </row>
    <row r="1031" spans="2:14" x14ac:dyDescent="0.35">
      <c r="B1031" s="5" t="str">
        <f t="shared" si="1137"/>
        <v>SPS1</v>
      </c>
      <c r="C1031" s="5" t="str">
        <f t="shared" si="1138"/>
        <v>CH</v>
      </c>
      <c r="D1031" t="s">
        <v>1028</v>
      </c>
      <c r="E1031" t="s">
        <v>8</v>
      </c>
      <c r="F1031" s="1">
        <f>F1032</f>
        <v>0.78533941542298669</v>
      </c>
      <c r="G1031" s="1">
        <f t="shared" ref="G1031:L1031" si="1187">G1032</f>
        <v>0.94128629309483069</v>
      </c>
      <c r="H1031" s="1">
        <f t="shared" si="1187"/>
        <v>3.0776095350368661E-2</v>
      </c>
      <c r="I1031" s="1">
        <f t="shared" si="1187"/>
        <v>3.5919727013563496E-2</v>
      </c>
      <c r="J1031" s="1">
        <f t="shared" si="1187"/>
        <v>3.8662839082753024E-2</v>
      </c>
      <c r="K1031" s="1">
        <f t="shared" si="1187"/>
        <v>3.9679581866558247E-2</v>
      </c>
      <c r="L1031" s="1">
        <f t="shared" si="1187"/>
        <v>4.1458751603050049E-2</v>
      </c>
      <c r="N1031" s="1"/>
    </row>
    <row r="1032" spans="2:14" x14ac:dyDescent="0.35">
      <c r="B1032" s="5" t="str">
        <f t="shared" si="1137"/>
        <v>SPS1</v>
      </c>
      <c r="C1032" s="5" t="str">
        <f t="shared" si="1138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0.78533941542298669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0.94128629309483069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3.0776095350368661E-2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3.5919727013563496E-2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3.8662839082753024E-2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3.9679581866558247E-2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4.1458751603050049E-2</v>
      </c>
      <c r="N1032" s="1"/>
    </row>
    <row r="1033" spans="2:14" x14ac:dyDescent="0.35">
      <c r="B1033" s="5" t="str">
        <f t="shared" si="1137"/>
        <v>SPS1</v>
      </c>
      <c r="C1033" s="5" t="str">
        <f t="shared" si="1138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8">G1030-G1031</f>
        <v>1.9867276432802019</v>
      </c>
      <c r="H1033" s="1">
        <f t="shared" si="1188"/>
        <v>0.904547782524736</v>
      </c>
      <c r="I1033" s="1">
        <f t="shared" si="1188"/>
        <v>1.0742208068571992</v>
      </c>
      <c r="J1033" s="1">
        <f t="shared" si="1188"/>
        <v>1.1916289868981327</v>
      </c>
      <c r="K1033" s="1">
        <f t="shared" si="1188"/>
        <v>1.2853364411628689</v>
      </c>
      <c r="L1033" s="1">
        <f t="shared" ref="L1033" si="1189">L1030-L1031</f>
        <v>1.4830710743695474</v>
      </c>
      <c r="N1033" s="1"/>
    </row>
    <row r="1034" spans="2:14" x14ac:dyDescent="0.35">
      <c r="B1034" s="5" t="str">
        <f t="shared" si="1137"/>
        <v>SPS1</v>
      </c>
      <c r="C1034" s="5" t="str">
        <f t="shared" si="1138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0">G1033</f>
        <v>1.9867276432802019</v>
      </c>
      <c r="H1034" s="1">
        <f t="shared" si="1190"/>
        <v>0.904547782524736</v>
      </c>
      <c r="I1034" s="1">
        <f t="shared" si="1190"/>
        <v>1.0742208068571992</v>
      </c>
      <c r="J1034" s="1">
        <f t="shared" si="1190"/>
        <v>1.1916289868981327</v>
      </c>
      <c r="K1034" s="1">
        <f t="shared" si="1190"/>
        <v>1.2853364411628689</v>
      </c>
      <c r="L1034" s="1">
        <f t="shared" ref="L1034" si="1191">L1033</f>
        <v>1.4830710743695474</v>
      </c>
      <c r="N1034" s="1"/>
    </row>
    <row r="1035" spans="2:14" x14ac:dyDescent="0.35">
      <c r="B1035" s="5" t="str">
        <f t="shared" si="1137"/>
        <v>SPS1</v>
      </c>
      <c r="C1035" s="5" t="str">
        <f t="shared" si="1138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0</v>
      </c>
      <c r="K1035" s="1">
        <f>[2]Residential!G$24</f>
        <v>0</v>
      </c>
      <c r="L1035" s="1">
        <f>[2]Residential!H$24</f>
        <v>0</v>
      </c>
      <c r="N1035" s="1"/>
    </row>
    <row r="1036" spans="2:14" x14ac:dyDescent="0.35">
      <c r="B1036" s="5" t="str">
        <f t="shared" si="1137"/>
        <v>SPS1</v>
      </c>
      <c r="C1036" s="5" t="str">
        <f t="shared" si="1138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2">G1035-G1038-G1040</f>
        <v>0</v>
      </c>
      <c r="H1036" s="1">
        <f t="shared" si="1192"/>
        <v>0</v>
      </c>
      <c r="I1036" s="1">
        <f t="shared" si="1192"/>
        <v>0</v>
      </c>
      <c r="J1036" s="1">
        <f t="shared" si="1192"/>
        <v>0</v>
      </c>
      <c r="K1036" s="1">
        <f t="shared" si="1192"/>
        <v>0</v>
      </c>
      <c r="L1036" s="1">
        <f t="shared" ref="L1036" si="1193">L1035-L1038-L1040</f>
        <v>0</v>
      </c>
      <c r="N1036" s="1"/>
    </row>
    <row r="1037" spans="2:14" x14ac:dyDescent="0.35">
      <c r="B1037" s="5" t="str">
        <f t="shared" si="1137"/>
        <v>SPS1</v>
      </c>
      <c r="C1037" s="5" t="str">
        <f t="shared" si="1138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4">G1038+G1040</f>
        <v>0</v>
      </c>
      <c r="H1037" s="1">
        <f t="shared" si="1194"/>
        <v>0</v>
      </c>
      <c r="I1037" s="1">
        <f t="shared" si="1194"/>
        <v>0</v>
      </c>
      <c r="J1037" s="1">
        <f t="shared" si="1194"/>
        <v>0</v>
      </c>
      <c r="K1037" s="1">
        <f t="shared" si="1194"/>
        <v>0</v>
      </c>
      <c r="L1037" s="1">
        <f t="shared" ref="L1037" si="1195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6">G1039</f>
        <v>0</v>
      </c>
      <c r="H1038" s="1">
        <f t="shared" si="1196"/>
        <v>0</v>
      </c>
      <c r="I1038" s="1">
        <f t="shared" si="1196"/>
        <v>0</v>
      </c>
      <c r="J1038" s="1">
        <f t="shared" si="1196"/>
        <v>0</v>
      </c>
      <c r="K1038" s="1">
        <f t="shared" si="1196"/>
        <v>0</v>
      </c>
      <c r="L1038" s="1">
        <f t="shared" si="1196"/>
        <v>0</v>
      </c>
      <c r="N1038" s="1"/>
    </row>
    <row r="1039" spans="2:14" x14ac:dyDescent="0.35">
      <c r="B1039" s="5" t="str">
        <f t="shared" si="1137"/>
        <v>SPS1</v>
      </c>
      <c r="C1039" s="5" t="str">
        <f t="shared" si="1138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7"/>
        <v>SPS1</v>
      </c>
      <c r="C1040" s="5" t="str">
        <f t="shared" si="1138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7">G1041</f>
        <v>0</v>
      </c>
      <c r="H1040" s="1">
        <f t="shared" si="1197"/>
        <v>0</v>
      </c>
      <c r="I1040" s="1">
        <f t="shared" si="1197"/>
        <v>0</v>
      </c>
      <c r="J1040" s="1">
        <f t="shared" si="1197"/>
        <v>0</v>
      </c>
      <c r="K1040" s="1">
        <f t="shared" si="1197"/>
        <v>0</v>
      </c>
      <c r="L1040" s="1">
        <f t="shared" si="1197"/>
        <v>0</v>
      </c>
      <c r="N1040" s="1"/>
    </row>
    <row r="1041" spans="2:14" x14ac:dyDescent="0.35">
      <c r="B1041" s="5" t="str">
        <f t="shared" si="1137"/>
        <v>SPS1</v>
      </c>
      <c r="C1041" s="5" t="str">
        <f t="shared" si="1138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7"/>
        <v>SPS1</v>
      </c>
      <c r="C1042" s="5" t="str">
        <f t="shared" si="1138"/>
        <v>CH</v>
      </c>
      <c r="D1042" t="s">
        <v>1034</v>
      </c>
      <c r="E1042" t="s">
        <v>8</v>
      </c>
      <c r="F1042" s="1">
        <f>[1]Residential!B$21</f>
        <v>8.4154782471943737</v>
      </c>
      <c r="G1042" s="1">
        <f>[1]Residential!C$21</f>
        <v>9.67146109314284</v>
      </c>
      <c r="H1042" s="1">
        <f>[1]Residential!D$21</f>
        <v>8.3537854965563145</v>
      </c>
      <c r="I1042" s="1">
        <f>[1]Residential!E$21</f>
        <v>9.4662594568640426</v>
      </c>
      <c r="J1042" s="1">
        <f>[2]Residential!F$21</f>
        <v>9.9742357274017444</v>
      </c>
      <c r="K1042" s="1">
        <f>[2]Residential!G$21</f>
        <v>10.250500807981876</v>
      </c>
      <c r="L1042" s="1">
        <f>[2]Residential!H$21</f>
        <v>10.733696065417188</v>
      </c>
      <c r="N1042" s="1"/>
    </row>
    <row r="1043" spans="2:14" x14ac:dyDescent="0.35">
      <c r="B1043" s="5" t="str">
        <f t="shared" si="1137"/>
        <v>SPS1</v>
      </c>
      <c r="C1043" s="5" t="str">
        <f t="shared" si="1138"/>
        <v>CH</v>
      </c>
      <c r="D1043" t="s">
        <v>1035</v>
      </c>
      <c r="E1043" t="s">
        <v>8</v>
      </c>
      <c r="F1043" s="1">
        <f>SUM(F1044:F1046)</f>
        <v>9.1796039545729E-2</v>
      </c>
      <c r="G1043" s="1">
        <f t="shared" ref="G1043:K1043" si="1198">SUM(G1044:G1046)</f>
        <v>5.3023443126749142E-3</v>
      </c>
      <c r="H1043" s="1">
        <f t="shared" si="1198"/>
        <v>1.0113380102076752E-2</v>
      </c>
      <c r="I1043" s="1">
        <f t="shared" si="1198"/>
        <v>0</v>
      </c>
      <c r="J1043" s="1">
        <f t="shared" si="1198"/>
        <v>2.4828769694871613</v>
      </c>
      <c r="K1043" s="1">
        <f t="shared" si="1198"/>
        <v>3.5912220859316197</v>
      </c>
      <c r="L1043" s="1">
        <f t="shared" ref="L1043" si="1199">SUM(L1044:L1046)</f>
        <v>1.8716536840918596</v>
      </c>
      <c r="N1043" s="1"/>
    </row>
    <row r="1044" spans="2:14" x14ac:dyDescent="0.35">
      <c r="B1044" s="5" t="str">
        <f t="shared" si="1137"/>
        <v>SPS1</v>
      </c>
      <c r="C1044" s="5" t="str">
        <f t="shared" si="1138"/>
        <v>CH</v>
      </c>
      <c r="D1044" t="s">
        <v>749</v>
      </c>
      <c r="E1044" t="s">
        <v>8</v>
      </c>
      <c r="F1044" s="1">
        <f t="shared" ref="F1044:K1045" si="1200">SUM(F244,F246)</f>
        <v>9.1796039545729E-2</v>
      </c>
      <c r="G1044" s="1">
        <f t="shared" si="1200"/>
        <v>5.3023443126749142E-3</v>
      </c>
      <c r="H1044" s="1">
        <f t="shared" si="1200"/>
        <v>1.0113380102076752E-2</v>
      </c>
      <c r="I1044" s="1">
        <f t="shared" si="1200"/>
        <v>0</v>
      </c>
      <c r="J1044" s="1">
        <f t="shared" si="1200"/>
        <v>2.4812055958657417</v>
      </c>
      <c r="K1044" s="1">
        <f t="shared" si="1200"/>
        <v>3.5902857199032185</v>
      </c>
      <c r="L1044" s="1">
        <f t="shared" ref="L1044" si="1201">SUM(L244,L246)</f>
        <v>1.8699570947028004</v>
      </c>
      <c r="N1044" s="1"/>
    </row>
    <row r="1045" spans="2:14" x14ac:dyDescent="0.35">
      <c r="B1045" s="5" t="str">
        <f t="shared" si="1137"/>
        <v>SPS1</v>
      </c>
      <c r="C1045" s="5" t="str">
        <f t="shared" si="1138"/>
        <v>CH</v>
      </c>
      <c r="D1045" t="s">
        <v>750</v>
      </c>
      <c r="E1045" t="s">
        <v>8</v>
      </c>
      <c r="F1045" s="1">
        <f t="shared" si="1200"/>
        <v>0</v>
      </c>
      <c r="G1045" s="1">
        <f t="shared" si="1200"/>
        <v>0</v>
      </c>
      <c r="H1045" s="1">
        <f t="shared" si="1200"/>
        <v>0</v>
      </c>
      <c r="I1045" s="1">
        <f t="shared" si="1200"/>
        <v>0</v>
      </c>
      <c r="J1045" s="1">
        <f t="shared" si="1200"/>
        <v>0</v>
      </c>
      <c r="K1045" s="1">
        <f t="shared" si="1200"/>
        <v>0</v>
      </c>
      <c r="L1045" s="1">
        <f t="shared" ref="L1045" si="1202">SUM(L245,L247)</f>
        <v>0</v>
      </c>
      <c r="N1045" s="1"/>
    </row>
    <row r="1046" spans="2:14" x14ac:dyDescent="0.35">
      <c r="B1046" s="5" t="str">
        <f t="shared" si="1137"/>
        <v>SPS1</v>
      </c>
      <c r="C1046" s="5" t="str">
        <f t="shared" si="1138"/>
        <v>CH</v>
      </c>
      <c r="D1046" t="s">
        <v>751</v>
      </c>
      <c r="E1046" t="s">
        <v>8</v>
      </c>
      <c r="F1046" s="1">
        <f t="shared" ref="F1046:K1046" si="1203">SUM(F285,F286)</f>
        <v>0</v>
      </c>
      <c r="G1046" s="1">
        <f t="shared" si="1203"/>
        <v>0</v>
      </c>
      <c r="H1046" s="1">
        <f t="shared" si="1203"/>
        <v>0</v>
      </c>
      <c r="I1046" s="1">
        <f t="shared" si="1203"/>
        <v>0</v>
      </c>
      <c r="J1046" s="1">
        <f t="shared" si="1203"/>
        <v>1.6713736214195286E-3</v>
      </c>
      <c r="K1046" s="1">
        <f t="shared" si="1203"/>
        <v>9.3636602840103749E-4</v>
      </c>
      <c r="L1046" s="1">
        <f t="shared" ref="L1046" si="1204">SUM(L285,L286)</f>
        <v>1.6965893890592146E-3</v>
      </c>
      <c r="N1046" s="1"/>
    </row>
    <row r="1047" spans="2:14" x14ac:dyDescent="0.35">
      <c r="B1047" s="5" t="str">
        <f t="shared" si="1137"/>
        <v>SPS1</v>
      </c>
      <c r="C1047" s="5" t="str">
        <f t="shared" si="1138"/>
        <v>CH</v>
      </c>
      <c r="D1047" t="s">
        <v>1036</v>
      </c>
      <c r="E1047" t="s">
        <v>8</v>
      </c>
      <c r="F1047" s="1">
        <f>F1042-F1043</f>
        <v>8.3236822076486447</v>
      </c>
      <c r="G1047" s="1">
        <f t="shared" ref="G1047:K1047" si="1205">G1042-G1043</f>
        <v>9.6661587488301652</v>
      </c>
      <c r="H1047" s="1">
        <f t="shared" si="1205"/>
        <v>8.343672116454238</v>
      </c>
      <c r="I1047" s="1">
        <f t="shared" si="1205"/>
        <v>9.4662594568640426</v>
      </c>
      <c r="J1047" s="1">
        <f t="shared" si="1205"/>
        <v>7.4913587579145826</v>
      </c>
      <c r="K1047" s="1">
        <f t="shared" si="1205"/>
        <v>6.6592787220502565</v>
      </c>
      <c r="L1047" s="1">
        <f t="shared" ref="L1047" si="1206">L1042-L1043</f>
        <v>8.8620423813253293</v>
      </c>
      <c r="N1047" s="1"/>
    </row>
    <row r="1048" spans="2:14" x14ac:dyDescent="0.35">
      <c r="B1048" s="5" t="str">
        <f t="shared" si="1137"/>
        <v>SPS1</v>
      </c>
      <c r="C1048" s="5" t="str">
        <f t="shared" si="1138"/>
        <v>CH</v>
      </c>
      <c r="D1048" t="s">
        <v>1037</v>
      </c>
      <c r="E1048" t="s">
        <v>8</v>
      </c>
      <c r="F1048" s="1">
        <f>[1]Residential!B$25</f>
        <v>15.194984055049646</v>
      </c>
      <c r="G1048" s="1">
        <f>[1]Residential!C$25</f>
        <v>17.635318453189043</v>
      </c>
      <c r="H1048" s="1">
        <f>[1]Residential!D$25</f>
        <v>25.40511120661521</v>
      </c>
      <c r="I1048" s="1">
        <f>[1]Residential!E$25</f>
        <v>36.423324705367293</v>
      </c>
      <c r="J1048" s="1">
        <f>[2]Residential!F$25</f>
        <v>44.117326632811675</v>
      </c>
      <c r="K1048" s="1">
        <f>[2]Residential!G$25</f>
        <v>50.257716578818929</v>
      </c>
      <c r="L1048" s="1">
        <f>[2]Residential!H$25</f>
        <v>62.69402346937315</v>
      </c>
      <c r="N1048" s="1"/>
    </row>
    <row r="1049" spans="2:14" x14ac:dyDescent="0.35">
      <c r="B1049" s="5" t="str">
        <f t="shared" si="1137"/>
        <v>SPS1</v>
      </c>
      <c r="C1049" s="5" t="str">
        <f t="shared" si="1138"/>
        <v>CH</v>
      </c>
      <c r="D1049" t="s">
        <v>1038</v>
      </c>
      <c r="E1049" t="s">
        <v>8</v>
      </c>
      <c r="F1049" s="1">
        <f>F1048-F1052</f>
        <v>13.103985990075557</v>
      </c>
      <c r="G1049" s="1">
        <f t="shared" ref="G1049:K1049" si="1207">G1048-G1052</f>
        <v>15.286291776781001</v>
      </c>
      <c r="H1049" s="1">
        <f t="shared" si="1207"/>
        <v>22.738055347779913</v>
      </c>
      <c r="I1049" s="1">
        <f t="shared" si="1207"/>
        <v>31.682155482307</v>
      </c>
      <c r="J1049" s="1">
        <f t="shared" si="1207"/>
        <v>37.570837328532896</v>
      </c>
      <c r="K1049" s="1">
        <f t="shared" si="1207"/>
        <v>42.053992895178894</v>
      </c>
      <c r="L1049" s="1">
        <f t="shared" ref="L1049" si="1208">L1048-L1052</f>
        <v>50.838181162204563</v>
      </c>
      <c r="M1049" s="1"/>
      <c r="N1049" s="1"/>
    </row>
    <row r="1050" spans="2:14" x14ac:dyDescent="0.35">
      <c r="B1050" s="5" t="str">
        <f t="shared" si="1137"/>
        <v>SPS1</v>
      </c>
      <c r="C1050" s="5" t="str">
        <f t="shared" si="1138"/>
        <v>CH</v>
      </c>
      <c r="D1050" t="s">
        <v>752</v>
      </c>
      <c r="E1050" t="s">
        <v>8</v>
      </c>
      <c r="F1050" s="1">
        <f>F1049-F1051</f>
        <v>13.103985990075557</v>
      </c>
      <c r="G1050" s="1">
        <f t="shared" ref="G1050:K1050" si="1209">G1049-G1051</f>
        <v>15.286291776781001</v>
      </c>
      <c r="H1050" s="1">
        <f t="shared" si="1209"/>
        <v>20.710834698565797</v>
      </c>
      <c r="I1050" s="1">
        <f t="shared" si="1209"/>
        <v>27.229067213300585</v>
      </c>
      <c r="J1050" s="1">
        <f t="shared" si="1209"/>
        <v>31.453347147492437</v>
      </c>
      <c r="K1050" s="1">
        <f t="shared" si="1209"/>
        <v>34.637815068527914</v>
      </c>
      <c r="L1050" s="1">
        <f t="shared" ref="L1050" si="1210">L1049-L1051</f>
        <v>40.886514825656405</v>
      </c>
      <c r="N1050" s="1"/>
    </row>
    <row r="1051" spans="2:14" x14ac:dyDescent="0.35">
      <c r="B1051" s="5" t="str">
        <f t="shared" si="1137"/>
        <v>SPS1</v>
      </c>
      <c r="C1051" s="5" t="str">
        <f t="shared" si="1138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2.0272206492141134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4.4530882690064146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6.1174901810404574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7.4161778266509817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9.9516663365481541</v>
      </c>
      <c r="M1051" s="20"/>
      <c r="N1051" s="1"/>
    </row>
    <row r="1052" spans="2:14" x14ac:dyDescent="0.35">
      <c r="B1052" s="5" t="str">
        <f t="shared" si="1137"/>
        <v>SPS1</v>
      </c>
      <c r="C1052" s="5" t="str">
        <f t="shared" si="1138"/>
        <v>CH</v>
      </c>
      <c r="D1052" t="s">
        <v>1039</v>
      </c>
      <c r="E1052" t="s">
        <v>8</v>
      </c>
      <c r="F1052" s="1">
        <f>SUM(F1053:F1054)</f>
        <v>2.0909980649740887</v>
      </c>
      <c r="G1052" s="1">
        <f t="shared" ref="G1052:K1052" si="1211">SUM(G1053:G1054)</f>
        <v>2.3490266764080432</v>
      </c>
      <c r="H1052" s="1">
        <f t="shared" si="1211"/>
        <v>2.6670558588352957</v>
      </c>
      <c r="I1052" s="1">
        <f t="shared" si="1211"/>
        <v>4.741169223060294</v>
      </c>
      <c r="J1052" s="1">
        <f t="shared" si="1211"/>
        <v>6.546489304278782</v>
      </c>
      <c r="K1052" s="1">
        <f t="shared" si="1211"/>
        <v>8.2037236836400353</v>
      </c>
      <c r="L1052" s="1">
        <f t="shared" ref="L1052" si="1212">SUM(L1053:L1054)</f>
        <v>11.855842307168583</v>
      </c>
      <c r="N1052" s="1"/>
    </row>
    <row r="1053" spans="2:14" x14ac:dyDescent="0.35">
      <c r="B1053" s="5" t="str">
        <f t="shared" si="1137"/>
        <v>SPS1</v>
      </c>
      <c r="C1053" s="5" t="str">
        <f t="shared" si="1138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2.0909980649740887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2.3490266764080432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2.2174495975166346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3.5605884171982383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4.7173228052385632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5.7911713240639662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8.1724032753234042</v>
      </c>
      <c r="N1053" s="1"/>
    </row>
    <row r="1054" spans="2:14" x14ac:dyDescent="0.35">
      <c r="B1054" s="5" t="str">
        <f t="shared" si="1137"/>
        <v>SPS1</v>
      </c>
      <c r="C1054" s="5" t="str">
        <f t="shared" si="1138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0.44960626131866099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1.1805808058620555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1.829166499040219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2.4125523595760692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3.6834390318451788</v>
      </c>
      <c r="N1054" s="1"/>
    </row>
    <row r="1055" spans="2:14" x14ac:dyDescent="0.35">
      <c r="B1055" s="5" t="str">
        <f t="shared" si="1137"/>
        <v>SPS1</v>
      </c>
      <c r="C1055" s="5" t="str">
        <f t="shared" si="1138"/>
        <v>CH</v>
      </c>
      <c r="D1055" s="2" t="s">
        <v>756</v>
      </c>
      <c r="E1055" t="s">
        <v>8</v>
      </c>
      <c r="F1055" s="3">
        <f>[1]Residential!B$245</f>
        <v>156.00921184834434</v>
      </c>
      <c r="G1055" s="3">
        <f>[1]Residential!C$245</f>
        <v>162.33874605864591</v>
      </c>
      <c r="H1055" s="3">
        <f>[1]Residential!D$245</f>
        <v>147.85285937935279</v>
      </c>
      <c r="I1055" s="3">
        <f>[1]Residential!E$245</f>
        <v>149.31031840721053</v>
      </c>
      <c r="J1055" s="3">
        <f>[2]Residential!F$245</f>
        <v>150.15708139325162</v>
      </c>
      <c r="K1055" s="3">
        <f>[2]Residential!G$245</f>
        <v>151.44841428218118</v>
      </c>
      <c r="L1055" s="3">
        <f>[2]Residential!H$245</f>
        <v>154.52715936724471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129.03090391074656</v>
      </c>
      <c r="G1056" s="1">
        <f>[1]Residential!C$116</f>
        <v>136.40873933825935</v>
      </c>
      <c r="H1056" s="1">
        <f>[1]Residential!D$116</f>
        <v>126.19963494695105</v>
      </c>
      <c r="I1056" s="1">
        <f>[1]Residential!E$116</f>
        <v>126.72944623771281</v>
      </c>
      <c r="J1056" s="1">
        <f>[2]Residential!F$116</f>
        <v>126.29933924926543</v>
      </c>
      <c r="K1056" s="1">
        <f>[2]Residential!G$116</f>
        <v>125.86609827791617</v>
      </c>
      <c r="L1056" s="1">
        <f>[2]Residential!H$116</f>
        <v>125.47027618886214</v>
      </c>
      <c r="N1056" s="1"/>
    </row>
    <row r="1057" spans="2:14" x14ac:dyDescent="0.35">
      <c r="B1057" s="5" t="str">
        <f t="shared" ref="B1057:B1107" si="1213">B1056</f>
        <v>SPS1</v>
      </c>
      <c r="C1057" s="5" t="str">
        <f t="shared" ref="C1057:C1107" si="1214">C1056</f>
        <v>CH</v>
      </c>
      <c r="D1057" t="s">
        <v>1115</v>
      </c>
      <c r="E1057" t="s">
        <v>8</v>
      </c>
      <c r="F1057" s="1">
        <f>SUM(F1058:F1059)</f>
        <v>27.968356328647481</v>
      </c>
      <c r="G1057" s="1">
        <f t="shared" ref="G1057:K1057" si="1215">SUM(G1058:G1059)</f>
        <v>29.953311444836913</v>
      </c>
      <c r="H1057" s="1">
        <f t="shared" si="1215"/>
        <v>32.024478707360913</v>
      </c>
      <c r="I1057" s="1">
        <f t="shared" si="1215"/>
        <v>39.903588980922308</v>
      </c>
      <c r="J1057" s="1">
        <f t="shared" si="1215"/>
        <v>44.955897046113144</v>
      </c>
      <c r="K1057" s="1">
        <f t="shared" si="1215"/>
        <v>48.744220454225257</v>
      </c>
      <c r="L1057" s="1">
        <f t="shared" ref="L1057" si="1216">SUM(L1058:L1059)</f>
        <v>55.782102191564668</v>
      </c>
      <c r="N1057" s="1"/>
    </row>
    <row r="1058" spans="2:14" x14ac:dyDescent="0.35">
      <c r="B1058" s="5" t="str">
        <f t="shared" si="1213"/>
        <v>SPS1</v>
      </c>
      <c r="C1058" s="5" t="str">
        <f t="shared" si="1214"/>
        <v>CH</v>
      </c>
      <c r="D1058" t="s">
        <v>1116</v>
      </c>
      <c r="E1058" t="s">
        <v>8</v>
      </c>
      <c r="F1058" s="1">
        <f>[1]Residential!B$102</f>
        <v>8.9080130703557643</v>
      </c>
      <c r="G1058" s="1">
        <f>[1]Residential!C$102</f>
        <v>7.8831623706678933</v>
      </c>
      <c r="H1058" s="1">
        <f>[1]Residential!D$102</f>
        <v>0.83392771630437856</v>
      </c>
      <c r="I1058" s="1">
        <f>[1]Residential!E$102</f>
        <v>0.22621841137272364</v>
      </c>
      <c r="J1058" s="1">
        <f>[2]Residential!F$102</f>
        <v>4.7434125905710556E-2</v>
      </c>
      <c r="K1058" s="1">
        <f>[2]Residential!G$102</f>
        <v>4.2527190248623815E-2</v>
      </c>
      <c r="L1058" s="1">
        <f>[2]Residential!H$102</f>
        <v>4.5559045383108024E-2</v>
      </c>
      <c r="N1058" s="1"/>
    </row>
    <row r="1059" spans="2:14" x14ac:dyDescent="0.35">
      <c r="B1059" s="5" t="str">
        <f t="shared" si="1213"/>
        <v>SPS1</v>
      </c>
      <c r="C1059" s="5" t="str">
        <f t="shared" si="1214"/>
        <v>CH</v>
      </c>
      <c r="D1059" t="s">
        <v>1117</v>
      </c>
      <c r="E1059" t="s">
        <v>8</v>
      </c>
      <c r="F1059" s="1">
        <f>[1]Residential!B$104</f>
        <v>19.060343258291716</v>
      </c>
      <c r="G1059" s="1">
        <f>[1]Residential!C$104</f>
        <v>22.07014907416902</v>
      </c>
      <c r="H1059" s="1">
        <f>[1]Residential!D$104</f>
        <v>31.190550991056536</v>
      </c>
      <c r="I1059" s="1">
        <f>[1]Residential!E$104</f>
        <v>39.677370569549588</v>
      </c>
      <c r="J1059" s="1">
        <f>[2]Residential!F$104</f>
        <v>44.908462920207434</v>
      </c>
      <c r="K1059" s="1">
        <f>[2]Residential!G$104</f>
        <v>48.70169326397663</v>
      </c>
      <c r="L1059" s="1">
        <f>[2]Residential!H$104</f>
        <v>55.73654314618156</v>
      </c>
      <c r="N1059" s="1"/>
    </row>
    <row r="1060" spans="2:14" x14ac:dyDescent="0.35">
      <c r="B1060" s="5" t="str">
        <f t="shared" si="1213"/>
        <v>SPS1</v>
      </c>
      <c r="C1060" s="5" t="str">
        <f t="shared" si="1214"/>
        <v>CH</v>
      </c>
      <c r="D1060" t="s">
        <v>1046</v>
      </c>
      <c r="E1060" t="s">
        <v>8</v>
      </c>
      <c r="F1060" s="1">
        <f>F1061</f>
        <v>45.124394631453718</v>
      </c>
      <c r="G1060" s="1">
        <f t="shared" ref="G1060:L1060" si="1217">G1061</f>
        <v>38.53718010888177</v>
      </c>
      <c r="H1060" s="1">
        <f t="shared" si="1217"/>
        <v>35.664179462760892</v>
      </c>
      <c r="I1060" s="1">
        <f t="shared" si="1217"/>
        <v>23.874396835014501</v>
      </c>
      <c r="J1060" s="1">
        <f t="shared" si="1217"/>
        <v>17.249895430561956</v>
      </c>
      <c r="K1060" s="1">
        <f t="shared" si="1217"/>
        <v>12.805014091854027</v>
      </c>
      <c r="L1060" s="1">
        <f t="shared" si="1217"/>
        <v>3.9628807062331939</v>
      </c>
      <c r="N1060" s="1"/>
    </row>
    <row r="1061" spans="2:14" x14ac:dyDescent="0.35">
      <c r="B1061" s="5" t="str">
        <f t="shared" si="1213"/>
        <v>SPS1</v>
      </c>
      <c r="C1061" s="5" t="str">
        <f t="shared" si="1214"/>
        <v>CH</v>
      </c>
      <c r="D1061" t="s">
        <v>1047</v>
      </c>
      <c r="E1061" t="s">
        <v>8</v>
      </c>
      <c r="F1061" s="1">
        <f>[1]Residential!B$105</f>
        <v>45.124394631453718</v>
      </c>
      <c r="G1061" s="1">
        <f>[1]Residential!C$105</f>
        <v>38.53718010888177</v>
      </c>
      <c r="H1061" s="1">
        <f>[1]Residential!D$105</f>
        <v>35.664179462760892</v>
      </c>
      <c r="I1061" s="1">
        <f>[1]Residential!E$105</f>
        <v>23.874396835014501</v>
      </c>
      <c r="J1061" s="1">
        <f>[2]Residential!F$105</f>
        <v>17.249895430561956</v>
      </c>
      <c r="K1061" s="1">
        <f>[2]Residential!G$105</f>
        <v>12.805014091854027</v>
      </c>
      <c r="L1061" s="1">
        <f>[2]Residential!H$105</f>
        <v>3.9628807062331939</v>
      </c>
      <c r="N1061" s="1"/>
    </row>
    <row r="1062" spans="2:14" x14ac:dyDescent="0.35">
      <c r="B1062" s="5" t="str">
        <f t="shared" si="1213"/>
        <v>SPS1</v>
      </c>
      <c r="C1062" s="5" t="str">
        <f t="shared" si="1214"/>
        <v>CH</v>
      </c>
      <c r="D1062" t="s">
        <v>1048</v>
      </c>
      <c r="E1062" t="s">
        <v>8</v>
      </c>
      <c r="F1062" s="1">
        <f>SUM(F1063:F1064)</f>
        <v>36.569918490616288</v>
      </c>
      <c r="G1062" s="1">
        <f t="shared" ref="G1062:K1062" si="1218">SUM(G1063:G1064)</f>
        <v>38.724976350030296</v>
      </c>
      <c r="H1062" s="1">
        <f t="shared" si="1218"/>
        <v>37.233940930102399</v>
      </c>
      <c r="I1062" s="1">
        <f t="shared" si="1218"/>
        <v>37.207237965539456</v>
      </c>
      <c r="J1062" s="1">
        <f t="shared" si="1218"/>
        <v>35.004742408446617</v>
      </c>
      <c r="K1062" s="1">
        <f t="shared" si="1218"/>
        <v>32.121697007210422</v>
      </c>
      <c r="L1062" s="1">
        <f t="shared" ref="L1062" si="1219">SUM(L1063:L1064)</f>
        <v>27.692071100801485</v>
      </c>
      <c r="N1062" s="1"/>
    </row>
    <row r="1063" spans="2:14" x14ac:dyDescent="0.35">
      <c r="B1063" s="5" t="str">
        <f t="shared" si="1213"/>
        <v>SPS1</v>
      </c>
      <c r="C1063" s="5" t="str">
        <f t="shared" si="1214"/>
        <v>CH</v>
      </c>
      <c r="D1063" t="s">
        <v>1049</v>
      </c>
      <c r="E1063" t="s">
        <v>8</v>
      </c>
      <c r="F1063" s="1">
        <f>[1]Residential!B$106</f>
        <v>36.569918490616288</v>
      </c>
      <c r="G1063" s="1">
        <f>[1]Residential!C$106</f>
        <v>38.724976350030296</v>
      </c>
      <c r="H1063" s="1">
        <f>[1]Residential!D$106</f>
        <v>32.834148891139904</v>
      </c>
      <c r="I1063" s="1">
        <f>[1]Residential!E$106</f>
        <v>27.849842249207754</v>
      </c>
      <c r="J1063" s="1">
        <f>[2]Residential!F$106</f>
        <v>22.368882151484456</v>
      </c>
      <c r="K1063" s="1">
        <f>[2]Residential!G$106</f>
        <v>16.999437362350012</v>
      </c>
      <c r="L1063" s="1">
        <f>[2]Residential!H$106</f>
        <v>7.8657987939959977</v>
      </c>
      <c r="N1063" s="1"/>
    </row>
    <row r="1064" spans="2:14" x14ac:dyDescent="0.35">
      <c r="B1064" s="5" t="str">
        <f t="shared" si="1213"/>
        <v>SPS1</v>
      </c>
      <c r="C1064" s="5" t="str">
        <f t="shared" si="1214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4.399792038962496</v>
      </c>
      <c r="I1064" s="1">
        <f>[1]Residential!E$107</f>
        <v>9.3573957163317019</v>
      </c>
      <c r="J1064" s="1">
        <f>[2]Residential!F$107</f>
        <v>12.635860256962159</v>
      </c>
      <c r="K1064" s="1">
        <f>[2]Residential!G$107</f>
        <v>15.12225964486041</v>
      </c>
      <c r="L1064" s="1">
        <f>[2]Residential!H$107</f>
        <v>19.826272306805485</v>
      </c>
      <c r="N1064" s="1"/>
    </row>
    <row r="1065" spans="2:14" x14ac:dyDescent="0.35">
      <c r="B1065" s="5" t="str">
        <f t="shared" si="1213"/>
        <v>SPS1</v>
      </c>
      <c r="C1065" s="5" t="str">
        <f t="shared" si="1214"/>
        <v>CH</v>
      </c>
      <c r="D1065" t="s">
        <v>1051</v>
      </c>
      <c r="E1065" t="s">
        <v>8</v>
      </c>
      <c r="F1065" s="1">
        <f>F1066</f>
        <v>7.2000629868411645E-2</v>
      </c>
      <c r="G1065" s="1">
        <f t="shared" ref="G1065:L1065" si="1220">G1066</f>
        <v>7.2000461864137069E-2</v>
      </c>
      <c r="H1065" s="1">
        <f t="shared" si="1220"/>
        <v>2.1543782378820975E-2</v>
      </c>
      <c r="I1065" s="1">
        <f t="shared" si="1220"/>
        <v>4.8487062290993458E-3</v>
      </c>
      <c r="J1065" s="1">
        <f t="shared" si="1220"/>
        <v>1.8188826019881752E-4</v>
      </c>
      <c r="K1065" s="1">
        <f t="shared" si="1220"/>
        <v>0</v>
      </c>
      <c r="L1065" s="1">
        <f t="shared" si="1220"/>
        <v>0</v>
      </c>
      <c r="N1065" s="1"/>
    </row>
    <row r="1066" spans="2:14" x14ac:dyDescent="0.35">
      <c r="B1066" s="5" t="str">
        <f t="shared" si="1213"/>
        <v>SPS1</v>
      </c>
      <c r="C1066" s="5" t="str">
        <f t="shared" si="1214"/>
        <v>CH</v>
      </c>
      <c r="D1066" t="s">
        <v>1052</v>
      </c>
      <c r="E1066" t="s">
        <v>8</v>
      </c>
      <c r="F1066" s="1">
        <f>[1]Residential!B$108</f>
        <v>7.2000629868411645E-2</v>
      </c>
      <c r="G1066" s="1">
        <f>[1]Residential!C$108</f>
        <v>7.2000461864137069E-2</v>
      </c>
      <c r="H1066" s="1">
        <f>[1]Residential!D$108</f>
        <v>2.1543782378820975E-2</v>
      </c>
      <c r="I1066" s="1">
        <f>[1]Residential!E$108</f>
        <v>4.8487062290993458E-3</v>
      </c>
      <c r="J1066" s="1">
        <f>[2]Residential!F$108</f>
        <v>1.8188826019881752E-4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3"/>
        <v>SPS1</v>
      </c>
      <c r="C1067" s="5" t="str">
        <f t="shared" si="1214"/>
        <v>CH</v>
      </c>
      <c r="D1067" t="s">
        <v>1053</v>
      </c>
      <c r="E1067" t="s">
        <v>8</v>
      </c>
      <c r="F1067" s="1">
        <f>SUM([1]Residential!B$109:B$110)</f>
        <v>6.6379813427877181</v>
      </c>
      <c r="G1067" s="1">
        <f>SUM([1]Residential!C$109:C$110)</f>
        <v>7.6981372501980285</v>
      </c>
      <c r="H1067" s="1">
        <f>SUM([1]Residential!D$109:D$110)</f>
        <v>5.8862265040764612</v>
      </c>
      <c r="I1067" s="1">
        <f>SUM([1]Residential!E$109:E$110)</f>
        <v>6.6017962709459468</v>
      </c>
      <c r="J1067" s="1">
        <f>SUM([2]Residential!F$109:F$110)</f>
        <v>6.8762577338640796</v>
      </c>
      <c r="K1067" s="1">
        <f>SUM([2]Residential!G$109:G$110)</f>
        <v>6.9798259333534629</v>
      </c>
      <c r="L1067" s="1">
        <f>SUM([2]Residential!H$109:H$110)</f>
        <v>7.1740043242385223</v>
      </c>
      <c r="N1067" s="1"/>
    </row>
    <row r="1068" spans="2:14" x14ac:dyDescent="0.35">
      <c r="B1068" s="5" t="str">
        <f t="shared" si="1213"/>
        <v>SPS1</v>
      </c>
      <c r="C1068" s="5" t="str">
        <f t="shared" si="1214"/>
        <v>CH</v>
      </c>
      <c r="D1068" t="s">
        <v>1054</v>
      </c>
      <c r="E1068" t="s">
        <v>8</v>
      </c>
      <c r="F1068" s="1">
        <f>[1]Residential!B$109</f>
        <v>7.850397182183963E-2</v>
      </c>
      <c r="G1068" s="1">
        <f>[1]Residential!C$109</f>
        <v>5.085287618143251E-3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3"/>
        <v>SPS1</v>
      </c>
      <c r="C1069" s="5" t="str">
        <f t="shared" si="1214"/>
        <v>CH</v>
      </c>
      <c r="D1069" t="s">
        <v>1055</v>
      </c>
      <c r="E1069" t="s">
        <v>8</v>
      </c>
      <c r="F1069" s="1">
        <f>IFERROR(F$1068/F$1043,0)*F1044</f>
        <v>7.850397182183963E-2</v>
      </c>
      <c r="G1069" s="1">
        <f t="shared" ref="G1069:K1069" si="1221">IFERROR(G$1068/G$1043,0)*G1044</f>
        <v>5.085287618143251E-3</v>
      </c>
      <c r="H1069" s="1">
        <f t="shared" si="1221"/>
        <v>0</v>
      </c>
      <c r="I1069" s="1">
        <f t="shared" si="1221"/>
        <v>0</v>
      </c>
      <c r="J1069" s="1">
        <f t="shared" si="1221"/>
        <v>0</v>
      </c>
      <c r="K1069" s="1">
        <f t="shared" si="1221"/>
        <v>0</v>
      </c>
      <c r="L1069" s="1">
        <f t="shared" ref="L1069" si="1222">IFERROR(L$1068/L$1043,0)*L1044</f>
        <v>0</v>
      </c>
      <c r="N1069" s="1"/>
    </row>
    <row r="1070" spans="2:14" x14ac:dyDescent="0.35">
      <c r="B1070" s="5" t="str">
        <f t="shared" si="1213"/>
        <v>SPS1</v>
      </c>
      <c r="C1070" s="5" t="str">
        <f t="shared" si="1214"/>
        <v>CH</v>
      </c>
      <c r="D1070" t="s">
        <v>1056</v>
      </c>
      <c r="E1070" t="s">
        <v>8</v>
      </c>
      <c r="F1070" s="1">
        <f t="shared" ref="F1070:K1070" si="1223">IFERROR(F$1068/F$1043,0)*F1045</f>
        <v>0</v>
      </c>
      <c r="G1070" s="1">
        <f t="shared" si="1223"/>
        <v>0</v>
      </c>
      <c r="H1070" s="1">
        <f t="shared" si="1223"/>
        <v>0</v>
      </c>
      <c r="I1070" s="1">
        <f t="shared" si="1223"/>
        <v>0</v>
      </c>
      <c r="J1070" s="1">
        <f t="shared" si="1223"/>
        <v>0</v>
      </c>
      <c r="K1070" s="1">
        <f t="shared" si="1223"/>
        <v>0</v>
      </c>
      <c r="L1070" s="1">
        <f t="shared" ref="L1070" si="1224">IFERROR(L$1068/L$1043,0)*L1045</f>
        <v>0</v>
      </c>
      <c r="N1070" s="1"/>
    </row>
    <row r="1071" spans="2:14" x14ac:dyDescent="0.35">
      <c r="B1071" s="5" t="str">
        <f t="shared" si="1213"/>
        <v>SPS1</v>
      </c>
      <c r="C1071" s="5" t="str">
        <f t="shared" si="1214"/>
        <v>CH</v>
      </c>
      <c r="D1071" t="s">
        <v>1057</v>
      </c>
      <c r="E1071" t="s">
        <v>8</v>
      </c>
      <c r="F1071" s="1">
        <f t="shared" ref="F1071:K1071" si="1225">IFERROR(F$1068/F$1043,0)*F1046</f>
        <v>0</v>
      </c>
      <c r="G1071" s="1">
        <f t="shared" si="1225"/>
        <v>0</v>
      </c>
      <c r="H1071" s="1">
        <f t="shared" si="1225"/>
        <v>0</v>
      </c>
      <c r="I1071" s="1">
        <f t="shared" si="1225"/>
        <v>0</v>
      </c>
      <c r="J1071" s="1">
        <f t="shared" si="1225"/>
        <v>0</v>
      </c>
      <c r="K1071" s="1">
        <f t="shared" si="1225"/>
        <v>0</v>
      </c>
      <c r="L1071" s="1">
        <f t="shared" ref="L1071" si="1226">IFERROR(L$1068/L$1043,0)*L1046</f>
        <v>0</v>
      </c>
      <c r="N1071" s="1"/>
    </row>
    <row r="1072" spans="2:14" x14ac:dyDescent="0.35">
      <c r="B1072" s="5" t="str">
        <f t="shared" si="1213"/>
        <v>SPS1</v>
      </c>
      <c r="C1072" s="5" t="str">
        <f t="shared" si="1214"/>
        <v>CH</v>
      </c>
      <c r="D1072" t="s">
        <v>1058</v>
      </c>
      <c r="E1072" t="s">
        <v>8</v>
      </c>
      <c r="F1072" s="1">
        <f>F1067-F1068</f>
        <v>6.5594773709658787</v>
      </c>
      <c r="G1072" s="1">
        <f t="shared" ref="G1072:K1072" si="1227">G1067-G1068</f>
        <v>7.6930519625798857</v>
      </c>
      <c r="H1072" s="1">
        <f t="shared" si="1227"/>
        <v>5.8862265040764612</v>
      </c>
      <c r="I1072" s="1">
        <f t="shared" si="1227"/>
        <v>6.6017962709459468</v>
      </c>
      <c r="J1072" s="1">
        <f t="shared" si="1227"/>
        <v>6.8762577338640796</v>
      </c>
      <c r="K1072" s="1">
        <f t="shared" si="1227"/>
        <v>6.9798259333534629</v>
      </c>
      <c r="L1072" s="1">
        <f t="shared" ref="L1072" si="1228">L1067-L1068</f>
        <v>7.1740043242385223</v>
      </c>
      <c r="N1072" s="1"/>
    </row>
    <row r="1073" spans="2:14" x14ac:dyDescent="0.35">
      <c r="B1073" s="5" t="str">
        <f t="shared" si="1213"/>
        <v>SPS1</v>
      </c>
      <c r="C1073" s="5" t="str">
        <f t="shared" si="1214"/>
        <v>CH</v>
      </c>
      <c r="D1073" t="s">
        <v>1059</v>
      </c>
      <c r="E1073" t="s">
        <v>8</v>
      </c>
      <c r="F1073" s="1">
        <f>F1074</f>
        <v>9.1310770474944682</v>
      </c>
      <c r="G1073" s="1">
        <f t="shared" ref="G1073:L1073" si="1229">G1074</f>
        <v>9.1352576792618922</v>
      </c>
      <c r="H1073" s="1">
        <f t="shared" si="1229"/>
        <v>9.8809311262269262</v>
      </c>
      <c r="I1073" s="1">
        <f t="shared" si="1229"/>
        <v>9.3222701913975055</v>
      </c>
      <c r="J1073" s="1">
        <f t="shared" si="1229"/>
        <v>8.325974091922534</v>
      </c>
      <c r="K1073" s="1">
        <f t="shared" si="1229"/>
        <v>7.445944105120744</v>
      </c>
      <c r="L1073" s="1">
        <f t="shared" si="1229"/>
        <v>5.6806121326309844</v>
      </c>
      <c r="N1073" s="1"/>
    </row>
    <row r="1074" spans="2:14" x14ac:dyDescent="0.35">
      <c r="B1074" s="5" t="str">
        <f t="shared" si="1213"/>
        <v>SPS1</v>
      </c>
      <c r="C1074" s="5" t="str">
        <f t="shared" si="1214"/>
        <v>CH</v>
      </c>
      <c r="D1074" t="s">
        <v>1060</v>
      </c>
      <c r="E1074" t="s">
        <v>8</v>
      </c>
      <c r="F1074" s="1">
        <f>[1]Residential!B$111</f>
        <v>9.1310770474944682</v>
      </c>
      <c r="G1074" s="1">
        <f>[1]Residential!C$111</f>
        <v>9.1352576792618922</v>
      </c>
      <c r="H1074" s="1">
        <f>[1]Residential!D$111</f>
        <v>9.8809311262269262</v>
      </c>
      <c r="I1074" s="1">
        <f>[1]Residential!E$111</f>
        <v>9.3222701913975055</v>
      </c>
      <c r="J1074" s="1">
        <f>[2]Residential!F$111</f>
        <v>8.325974091922534</v>
      </c>
      <c r="K1074" s="1">
        <f>[2]Residential!G$111</f>
        <v>7.445944105120744</v>
      </c>
      <c r="L1074" s="1">
        <f>[2]Residential!H$111</f>
        <v>5.6806121326309844</v>
      </c>
      <c r="N1074" s="1"/>
    </row>
    <row r="1075" spans="2:14" x14ac:dyDescent="0.35">
      <c r="B1075" s="5" t="str">
        <f t="shared" si="1213"/>
        <v>SPS1</v>
      </c>
      <c r="C1075" s="5" t="str">
        <f t="shared" si="1214"/>
        <v>CH</v>
      </c>
      <c r="D1075" t="s">
        <v>1061</v>
      </c>
      <c r="E1075" t="s">
        <v>8</v>
      </c>
      <c r="F1075" s="1">
        <f>F1076</f>
        <v>2.6968886507046301</v>
      </c>
      <c r="G1075" s="1">
        <f t="shared" ref="G1075:L1075" si="1230">G1076</f>
        <v>3.1682220538640093</v>
      </c>
      <c r="H1075" s="1">
        <f t="shared" si="1230"/>
        <v>0.33866507657896777</v>
      </c>
      <c r="I1075" s="1">
        <f t="shared" si="1230"/>
        <v>0.53529597735031631</v>
      </c>
      <c r="J1075" s="1">
        <f t="shared" si="1230"/>
        <v>0.64304827406126597</v>
      </c>
      <c r="K1075" s="1">
        <f t="shared" si="1230"/>
        <v>0.73633175355721969</v>
      </c>
      <c r="L1075" s="1">
        <f t="shared" si="1230"/>
        <v>0.8940397342671238</v>
      </c>
      <c r="N1075" s="1"/>
    </row>
    <row r="1076" spans="2:14" x14ac:dyDescent="0.35">
      <c r="B1076" s="5" t="str">
        <f t="shared" si="1213"/>
        <v>SPS1</v>
      </c>
      <c r="C1076" s="5" t="str">
        <f t="shared" si="1214"/>
        <v>CH</v>
      </c>
      <c r="D1076" t="s">
        <v>1062</v>
      </c>
      <c r="E1076" t="s">
        <v>8</v>
      </c>
      <c r="F1076" s="1">
        <f>[1]Residential!B$112</f>
        <v>2.6968886507046301</v>
      </c>
      <c r="G1076" s="1">
        <f>[1]Residential!C$112</f>
        <v>3.1682220538640093</v>
      </c>
      <c r="H1076" s="1">
        <f>[1]Residential!D$112</f>
        <v>0.33866507657896777</v>
      </c>
      <c r="I1076" s="1">
        <f>[1]Residential!E$112</f>
        <v>0.53529597735031631</v>
      </c>
      <c r="J1076" s="1">
        <f>[2]Residential!F$112</f>
        <v>0.64304827406126597</v>
      </c>
      <c r="K1076" s="1">
        <f>[2]Residential!G$112</f>
        <v>0.73633175355721969</v>
      </c>
      <c r="L1076" s="1">
        <f>[2]Residential!H$112</f>
        <v>0.8940397342671238</v>
      </c>
      <c r="N1076" s="1"/>
    </row>
    <row r="1077" spans="2:14" x14ac:dyDescent="0.35">
      <c r="B1077" s="5" t="str">
        <f t="shared" si="1213"/>
        <v>SPS1</v>
      </c>
      <c r="C1077" s="5" t="str">
        <f t="shared" si="1214"/>
        <v>CH</v>
      </c>
      <c r="D1077" t="s">
        <v>1063</v>
      </c>
      <c r="E1077" t="s">
        <v>8</v>
      </c>
      <c r="F1077" s="1">
        <f>F1078</f>
        <v>0.78533941542298669</v>
      </c>
      <c r="G1077" s="1">
        <f t="shared" ref="G1077:L1077" si="1231">G1078</f>
        <v>0.94128629309483069</v>
      </c>
      <c r="H1077" s="1">
        <f t="shared" si="1231"/>
        <v>3.0776095350368664E-2</v>
      </c>
      <c r="I1077" s="1">
        <f t="shared" si="1231"/>
        <v>3.5919727013563503E-2</v>
      </c>
      <c r="J1077" s="1">
        <f t="shared" si="1231"/>
        <v>3.8662839082753017E-2</v>
      </c>
      <c r="K1077" s="1">
        <f t="shared" si="1231"/>
        <v>3.967958186655824E-2</v>
      </c>
      <c r="L1077" s="1">
        <f t="shared" si="1231"/>
        <v>4.1458751603050049E-2</v>
      </c>
      <c r="N1077" s="1"/>
    </row>
    <row r="1078" spans="2:14" x14ac:dyDescent="0.35">
      <c r="B1078" s="5" t="str">
        <f t="shared" si="1213"/>
        <v>SPS1</v>
      </c>
      <c r="C1078" s="5" t="str">
        <f t="shared" si="1214"/>
        <v>CH</v>
      </c>
      <c r="D1078" t="s">
        <v>1064</v>
      </c>
      <c r="E1078" t="s">
        <v>8</v>
      </c>
      <c r="F1078" s="1">
        <f>[1]Residential!B$113</f>
        <v>0.78533941542298669</v>
      </c>
      <c r="G1078" s="1">
        <f>[1]Residential!C$113</f>
        <v>0.94128629309483069</v>
      </c>
      <c r="H1078" s="1">
        <f>[1]Residential!D$113</f>
        <v>3.0776095350368664E-2</v>
      </c>
      <c r="I1078" s="1">
        <f>[1]Residential!E$113</f>
        <v>3.5919727013563503E-2</v>
      </c>
      <c r="J1078" s="1">
        <f>[2]Residential!F$113</f>
        <v>3.8662839082753017E-2</v>
      </c>
      <c r="K1078" s="1">
        <f>[2]Residential!G$113</f>
        <v>3.967958186655824E-2</v>
      </c>
      <c r="L1078" s="1">
        <f>[2]Residential!H$113</f>
        <v>4.1458751603050049E-2</v>
      </c>
      <c r="N1078" s="1"/>
    </row>
    <row r="1079" spans="2:14" x14ac:dyDescent="0.35">
      <c r="B1079" s="5" t="str">
        <f t="shared" si="1213"/>
        <v>SPS1</v>
      </c>
      <c r="C1079" s="5" t="str">
        <f t="shared" si="1214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2">G1080</f>
        <v>0</v>
      </c>
      <c r="H1079" s="1">
        <f t="shared" si="1232"/>
        <v>0</v>
      </c>
      <c r="I1079" s="1">
        <f t="shared" si="1232"/>
        <v>0</v>
      </c>
      <c r="J1079" s="1">
        <f t="shared" si="1232"/>
        <v>0</v>
      </c>
      <c r="K1079" s="1">
        <f t="shared" si="1232"/>
        <v>0</v>
      </c>
      <c r="L1079" s="1">
        <f t="shared" si="1232"/>
        <v>0</v>
      </c>
      <c r="N1079" s="1"/>
    </row>
    <row r="1080" spans="2:14" x14ac:dyDescent="0.35">
      <c r="B1080" s="5" t="str">
        <f t="shared" si="1213"/>
        <v>SPS1</v>
      </c>
      <c r="C1080" s="5" t="str">
        <f t="shared" si="1214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3"/>
        <v>SPS1</v>
      </c>
      <c r="C1081" s="5" t="str">
        <f t="shared" si="1214"/>
        <v>CH</v>
      </c>
      <c r="D1081" t="s">
        <v>1067</v>
      </c>
      <c r="E1081" t="s">
        <v>8</v>
      </c>
      <c r="F1081" s="1">
        <f>[1]Residential!B$10-[1]Residential!B$223</f>
        <v>4.4947373750853725E-2</v>
      </c>
      <c r="G1081" s="1">
        <f>[1]Residential!C$10-[1]Residential!C$223</f>
        <v>8.1783676962274736</v>
      </c>
      <c r="H1081" s="1">
        <f>[1]Residential!D$10-[1]Residential!D$223</f>
        <v>5.1188932621152974</v>
      </c>
      <c r="I1081" s="1">
        <f>[1]Residential!E$10-[1]Residential!E$223</f>
        <v>9.2440915833001114</v>
      </c>
      <c r="J1081" s="1">
        <f>[2]Residential!F$10-[2]Residential!F$223</f>
        <v>13.204679536952884</v>
      </c>
      <c r="K1081" s="1">
        <f>[2]Residential!G$10-[2]Residential!G$223</f>
        <v>16.993385350728463</v>
      </c>
      <c r="L1081" s="1">
        <f>[2]Residential!H$10-[2]Residential!H$223</f>
        <v>24.243107247523124</v>
      </c>
      <c r="N1081" s="1"/>
    </row>
    <row r="1082" spans="2:14" x14ac:dyDescent="0.35">
      <c r="B1082" s="5" t="str">
        <f t="shared" si="1213"/>
        <v>SPS1</v>
      </c>
      <c r="C1082" s="5" t="str">
        <f t="shared" si="1214"/>
        <v>CH</v>
      </c>
      <c r="D1082" t="s">
        <v>1068</v>
      </c>
      <c r="E1082" t="s">
        <v>8</v>
      </c>
      <c r="F1082" s="1">
        <f>[1]Residential!B$224</f>
        <v>26.978307937597791</v>
      </c>
      <c r="G1082" s="1">
        <f>[1]Residential!C$224</f>
        <v>25.930006720386537</v>
      </c>
      <c r="H1082" s="1">
        <f>[1]Residential!D$224</f>
        <v>21.653224432401725</v>
      </c>
      <c r="I1082" s="1">
        <f>[1]Residential!E$224</f>
        <v>22.580872169497709</v>
      </c>
      <c r="J1082" s="1">
        <f>[2]Residential!F$224</f>
        <v>23.857742143986194</v>
      </c>
      <c r="K1082" s="1">
        <f>[2]Residential!G$224</f>
        <v>25.582316004265024</v>
      </c>
      <c r="L1082" s="1">
        <f>[2]Residential!H$224</f>
        <v>29.056883178382559</v>
      </c>
      <c r="N1082" s="1"/>
    </row>
    <row r="1083" spans="2:14" x14ac:dyDescent="0.35">
      <c r="B1083" s="5" t="str">
        <f t="shared" si="1213"/>
        <v>SPS1</v>
      </c>
      <c r="C1083" s="5" t="str">
        <f t="shared" si="1214"/>
        <v>CH</v>
      </c>
      <c r="D1083" t="s">
        <v>1118</v>
      </c>
      <c r="E1083" t="s">
        <v>8</v>
      </c>
      <c r="F1083" s="1">
        <f>SUM(F1084:F1085)</f>
        <v>9.8845999576436352</v>
      </c>
      <c r="G1083" s="1">
        <f t="shared" ref="G1083:K1083" si="1233">SUM(G1084:G1085)</f>
        <v>10.604168765772272</v>
      </c>
      <c r="H1083" s="1">
        <f t="shared" si="1233"/>
        <v>7.56106297638207</v>
      </c>
      <c r="I1083" s="1">
        <f t="shared" si="1233"/>
        <v>9.2163144174142442</v>
      </c>
      <c r="J1083" s="1">
        <f t="shared" si="1233"/>
        <v>10.773975774330401</v>
      </c>
      <c r="K1083" s="1">
        <f t="shared" si="1233"/>
        <v>12.347936135490537</v>
      </c>
      <c r="L1083" s="1">
        <f t="shared" ref="L1083" si="1234">SUM(L1084:L1085)</f>
        <v>15.51744129078868</v>
      </c>
      <c r="N1083" s="1"/>
    </row>
    <row r="1084" spans="2:14" x14ac:dyDescent="0.35">
      <c r="B1084" s="5" t="str">
        <f t="shared" si="1213"/>
        <v>SPS1</v>
      </c>
      <c r="C1084" s="5" t="str">
        <f t="shared" si="1214"/>
        <v>CH</v>
      </c>
      <c r="D1084" t="s">
        <v>1119</v>
      </c>
      <c r="E1084" t="s">
        <v>8</v>
      </c>
      <c r="F1084" s="1">
        <f>[1]Residential!B$231-F1058</f>
        <v>6.6447018569694993</v>
      </c>
      <c r="G1084" s="1">
        <f>[1]Residential!C$231-G1058</f>
        <v>6.9687090792831548</v>
      </c>
      <c r="H1084" s="1">
        <f>[1]Residential!D$231-H1058</f>
        <v>2.8217478715063447</v>
      </c>
      <c r="I1084" s="1">
        <f>[1]Residential!E$231-I1058</f>
        <v>2.2283576208579903</v>
      </c>
      <c r="J1084" s="1">
        <f>[2]Residential!F$231-J1058</f>
        <v>1.9605160105899688</v>
      </c>
      <c r="K1084" s="1">
        <f>[2]Residential!G$231-K1058</f>
        <v>1.8871422067111558</v>
      </c>
      <c r="L1084" s="1">
        <f>[2]Residential!H$231-L1058</f>
        <v>1.6960918685284245</v>
      </c>
      <c r="N1084" s="1"/>
    </row>
    <row r="1085" spans="2:14" x14ac:dyDescent="0.35">
      <c r="B1085" s="5" t="str">
        <f t="shared" si="1213"/>
        <v>SPS1</v>
      </c>
      <c r="C1085" s="5" t="str">
        <f t="shared" si="1214"/>
        <v>CH</v>
      </c>
      <c r="D1085" t="s">
        <v>1120</v>
      </c>
      <c r="E1085" t="s">
        <v>8</v>
      </c>
      <c r="F1085" s="1">
        <f>[1]Residential!B$233-F1059</f>
        <v>3.2398981006741359</v>
      </c>
      <c r="G1085" s="1">
        <f>[1]Residential!C$233-G1059</f>
        <v>3.6354596864891171</v>
      </c>
      <c r="H1085" s="1">
        <f>[1]Residential!D$233-H1059</f>
        <v>4.7393151048757254</v>
      </c>
      <c r="I1085" s="1">
        <f>[1]Residential!E$233-I1059</f>
        <v>6.9879567965562543</v>
      </c>
      <c r="J1085" s="1">
        <f>[2]Residential!F$233-J1059</f>
        <v>8.8134597637404326</v>
      </c>
      <c r="K1085" s="1">
        <f>[2]Residential!G$233-K1059</f>
        <v>10.460793928779381</v>
      </c>
      <c r="L1085" s="1">
        <f>[2]Residential!H$233-L1059</f>
        <v>13.821349422260255</v>
      </c>
      <c r="N1085" s="1"/>
    </row>
    <row r="1086" spans="2:14" x14ac:dyDescent="0.35">
      <c r="B1086" s="5" t="str">
        <f t="shared" si="1213"/>
        <v>SPS1</v>
      </c>
      <c r="C1086" s="5" t="str">
        <f t="shared" si="1214"/>
        <v>CH</v>
      </c>
      <c r="D1086" t="s">
        <v>1069</v>
      </c>
      <c r="E1086" t="s">
        <v>8</v>
      </c>
      <c r="F1086" s="1">
        <f>F1087</f>
        <v>6.984458254042174</v>
      </c>
      <c r="G1086" s="1">
        <f t="shared" ref="G1086:L1086" si="1235">G1087</f>
        <v>5.9323000865782305</v>
      </c>
      <c r="H1086" s="1">
        <f t="shared" si="1235"/>
        <v>4.6761390939225862</v>
      </c>
      <c r="I1086" s="1">
        <f t="shared" si="1235"/>
        <v>3.1017927696240974</v>
      </c>
      <c r="J1086" s="1">
        <f t="shared" si="1235"/>
        <v>2.2348954886737502</v>
      </c>
      <c r="K1086" s="1">
        <f t="shared" si="1235"/>
        <v>1.7873427372802944</v>
      </c>
      <c r="L1086" s="1">
        <f t="shared" si="1235"/>
        <v>0.8211236345675772</v>
      </c>
      <c r="N1086" s="1"/>
    </row>
    <row r="1087" spans="2:14" x14ac:dyDescent="0.35">
      <c r="B1087" s="5" t="str">
        <f t="shared" si="1213"/>
        <v>SPS1</v>
      </c>
      <c r="C1087" s="5" t="str">
        <f t="shared" si="1214"/>
        <v>CH</v>
      </c>
      <c r="D1087" t="s">
        <v>1070</v>
      </c>
      <c r="E1087" t="s">
        <v>8</v>
      </c>
      <c r="F1087" s="1">
        <f>[1]Residential!B$234-F1061</f>
        <v>6.984458254042174</v>
      </c>
      <c r="G1087" s="1">
        <f>[1]Residential!C$234-G1061</f>
        <v>5.9323000865782305</v>
      </c>
      <c r="H1087" s="1">
        <f>[1]Residential!D$234-H1061</f>
        <v>4.6761390939225862</v>
      </c>
      <c r="I1087" s="1">
        <f>[1]Residential!E$234-I1061</f>
        <v>3.1017927696240974</v>
      </c>
      <c r="J1087" s="1">
        <f>[2]Residential!F$234-J1061</f>
        <v>2.2348954886737502</v>
      </c>
      <c r="K1087" s="1">
        <f>[2]Residential!G$234-K1061</f>
        <v>1.7873427372802944</v>
      </c>
      <c r="L1087" s="1">
        <f>[2]Residential!H$234-L1061</f>
        <v>0.8211236345675772</v>
      </c>
      <c r="N1087" s="1"/>
    </row>
    <row r="1088" spans="2:14" x14ac:dyDescent="0.35">
      <c r="B1088" s="5" t="str">
        <f t="shared" si="1213"/>
        <v>SPS1</v>
      </c>
      <c r="C1088" s="5" t="str">
        <f t="shared" si="1214"/>
        <v>CH</v>
      </c>
      <c r="D1088" t="s">
        <v>1071</v>
      </c>
      <c r="E1088" t="s">
        <v>8</v>
      </c>
      <c r="F1088" s="1">
        <f>SUM(F1089:F1090)</f>
        <v>6.3804513018395852</v>
      </c>
      <c r="G1088" s="1">
        <f t="shared" ref="G1088:K1088" si="1236">SUM(G1089:G1090)</f>
        <v>5.1513552970312944</v>
      </c>
      <c r="H1088" s="1">
        <f t="shared" si="1236"/>
        <v>6.3172137072179728</v>
      </c>
      <c r="I1088" s="1">
        <f t="shared" si="1236"/>
        <v>6.6365835034163183</v>
      </c>
      <c r="J1088" s="1">
        <f t="shared" si="1236"/>
        <v>6.9101192083296112</v>
      </c>
      <c r="K1088" s="1">
        <f t="shared" si="1236"/>
        <v>7.2375389875068024</v>
      </c>
      <c r="L1088" s="1">
        <f t="shared" ref="L1088" si="1237">SUM(L1089:L1090)</f>
        <v>8.0243222017159521</v>
      </c>
      <c r="N1088" s="1"/>
    </row>
    <row r="1089" spans="2:14" x14ac:dyDescent="0.35">
      <c r="B1089" s="5" t="str">
        <f t="shared" si="1213"/>
        <v>SPS1</v>
      </c>
      <c r="C1089" s="5" t="str">
        <f t="shared" si="1214"/>
        <v>CH</v>
      </c>
      <c r="D1089" t="s">
        <v>1072</v>
      </c>
      <c r="E1089" t="s">
        <v>8</v>
      </c>
      <c r="F1089" s="1">
        <f>[1]Residential!B$235-F1063</f>
        <v>6.3804513018395852</v>
      </c>
      <c r="G1089" s="1">
        <f>[1]Residential!C$235-G1063</f>
        <v>5.1513552970312944</v>
      </c>
      <c r="H1089" s="1">
        <f>[1]Residential!D$235-H1063</f>
        <v>5.4192366743082161</v>
      </c>
      <c r="I1089" s="1">
        <f>[1]Residential!E$235-I1063</f>
        <v>4.4448850076039506</v>
      </c>
      <c r="J1089" s="1">
        <f>[2]Residential!F$235-J1063</f>
        <v>3.641509247620661</v>
      </c>
      <c r="K1089" s="1">
        <f>[2]Residential!G$235-K1063</f>
        <v>3.0410845233340886</v>
      </c>
      <c r="L1089" s="1">
        <f>[2]Residential!H$235-L1063</f>
        <v>1.9312548590208518</v>
      </c>
      <c r="N1089" s="1"/>
    </row>
    <row r="1090" spans="2:14" x14ac:dyDescent="0.35">
      <c r="B1090" s="5" t="str">
        <f t="shared" si="1213"/>
        <v>SPS1</v>
      </c>
      <c r="C1090" s="5" t="str">
        <f t="shared" si="1214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0.89797703290975672</v>
      </c>
      <c r="I1090" s="1">
        <f>[1]Residential!E$236-I1064</f>
        <v>2.1916984958123678</v>
      </c>
      <c r="J1090" s="1">
        <f>[2]Residential!F$236-J1064</f>
        <v>3.2686099607089503</v>
      </c>
      <c r="K1090" s="1">
        <f>[2]Residential!G$236-K1064</f>
        <v>4.1964544641727137</v>
      </c>
      <c r="L1090" s="1">
        <f>[2]Residential!H$236-L1064</f>
        <v>6.0930673426951003</v>
      </c>
      <c r="N1090" s="1"/>
    </row>
    <row r="1091" spans="2:14" x14ac:dyDescent="0.35">
      <c r="B1091" s="5" t="str">
        <f t="shared" si="1213"/>
        <v>SPS1</v>
      </c>
      <c r="C1091" s="5" t="str">
        <f t="shared" si="1214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3"/>
        <v>SPS1</v>
      </c>
      <c r="C1092" s="5" t="str">
        <f t="shared" si="1214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3"/>
        <v>SPS1</v>
      </c>
      <c r="C1093" s="5" t="str">
        <f t="shared" si="1214"/>
        <v>CH</v>
      </c>
      <c r="D1093" t="s">
        <v>1076</v>
      </c>
      <c r="E1093" t="s">
        <v>8</v>
      </c>
      <c r="F1093" s="1">
        <f>SUM(F1094,F1098)</f>
        <v>1.3170438726158862</v>
      </c>
      <c r="G1093" s="1">
        <f t="shared" ref="G1093:K1093" si="1238">SUM(G1094,G1098)</f>
        <v>1.4633760879942761</v>
      </c>
      <c r="H1093" s="1">
        <f t="shared" si="1238"/>
        <v>0.95324676538258757</v>
      </c>
      <c r="I1093" s="1">
        <f t="shared" si="1238"/>
        <v>1.1752061558608062</v>
      </c>
      <c r="J1093" s="1">
        <f t="shared" si="1238"/>
        <v>1.3268369777538158</v>
      </c>
      <c r="K1093" s="1">
        <f t="shared" si="1238"/>
        <v>1.4469579304085967</v>
      </c>
      <c r="L1093" s="1">
        <f t="shared" ref="L1093" si="1239">SUM(L1094,L1098)</f>
        <v>1.6804125779830166</v>
      </c>
      <c r="N1093" s="1"/>
    </row>
    <row r="1094" spans="2:14" x14ac:dyDescent="0.35">
      <c r="B1094" s="5" t="str">
        <f t="shared" si="1213"/>
        <v>SPS1</v>
      </c>
      <c r="C1094" s="5" t="str">
        <f t="shared" si="1214"/>
        <v>CH</v>
      </c>
      <c r="D1094" t="s">
        <v>1077</v>
      </c>
      <c r="E1094" t="s">
        <v>8</v>
      </c>
      <c r="F1094" s="1">
        <f>[1]Residential!B$238-F1068</f>
        <v>1.5575996635830036E-2</v>
      </c>
      <c r="G1094" s="1">
        <f>[1]Residential!C$238-G1068</f>
        <v>9.666868826965604E-4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3"/>
        <v>SPS1</v>
      </c>
      <c r="C1095" s="5" t="str">
        <f t="shared" si="1214"/>
        <v>CH</v>
      </c>
      <c r="D1095" t="s">
        <v>1078</v>
      </c>
      <c r="E1095" t="s">
        <v>8</v>
      </c>
      <c r="F1095" s="1">
        <f>IFERROR(F$1094/F$1043,0)*F1044</f>
        <v>1.5575996635830036E-2</v>
      </c>
      <c r="G1095" s="1">
        <f t="shared" ref="G1095:K1097" si="1240">IFERROR(G$1094/G$1043,0)*G1044</f>
        <v>9.666868826965604E-4</v>
      </c>
      <c r="H1095" s="1">
        <f t="shared" si="1240"/>
        <v>0</v>
      </c>
      <c r="I1095" s="1">
        <f t="shared" si="1240"/>
        <v>0</v>
      </c>
      <c r="J1095" s="1">
        <f t="shared" si="1240"/>
        <v>0</v>
      </c>
      <c r="K1095" s="1">
        <f t="shared" si="1240"/>
        <v>0</v>
      </c>
      <c r="L1095" s="1">
        <f t="shared" ref="L1095" si="1241">IFERROR(L$1094/L$1043,0)*L1044</f>
        <v>0</v>
      </c>
      <c r="N1095" s="1"/>
    </row>
    <row r="1096" spans="2:14" x14ac:dyDescent="0.35">
      <c r="B1096" s="5" t="str">
        <f t="shared" si="1213"/>
        <v>SPS1</v>
      </c>
      <c r="C1096" s="5" t="str">
        <f t="shared" si="1214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0"/>
        <v>0</v>
      </c>
      <c r="H1096" s="1">
        <f t="shared" si="1240"/>
        <v>0</v>
      </c>
      <c r="I1096" s="1">
        <f t="shared" si="1240"/>
        <v>0</v>
      </c>
      <c r="J1096" s="1">
        <f t="shared" si="1240"/>
        <v>0</v>
      </c>
      <c r="K1096" s="1">
        <f t="shared" si="1240"/>
        <v>0</v>
      </c>
      <c r="L1096" s="1">
        <f t="shared" ref="L1096" si="1242">IFERROR(L$1094/L$1043,0)*L1045</f>
        <v>0</v>
      </c>
      <c r="N1096" s="1"/>
    </row>
    <row r="1097" spans="2:14" x14ac:dyDescent="0.35">
      <c r="B1097" s="5" t="str">
        <f t="shared" si="1213"/>
        <v>SPS1</v>
      </c>
      <c r="C1097" s="5" t="str">
        <f t="shared" si="1214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0"/>
        <v>0</v>
      </c>
      <c r="H1097" s="1">
        <f t="shared" si="1240"/>
        <v>0</v>
      </c>
      <c r="I1097" s="1">
        <f t="shared" si="1240"/>
        <v>0</v>
      </c>
      <c r="J1097" s="1">
        <f t="shared" si="1240"/>
        <v>0</v>
      </c>
      <c r="K1097" s="1">
        <f t="shared" si="1240"/>
        <v>0</v>
      </c>
      <c r="L1097" s="1">
        <f t="shared" ref="L1097" si="1243">IFERROR(L$1094/L$1043,0)*L1046</f>
        <v>0</v>
      </c>
      <c r="N1097" s="1"/>
    </row>
    <row r="1098" spans="2:14" x14ac:dyDescent="0.35">
      <c r="B1098" s="5" t="str">
        <f t="shared" si="1213"/>
        <v>SPS1</v>
      </c>
      <c r="C1098" s="5" t="str">
        <f t="shared" si="1214"/>
        <v>CH</v>
      </c>
      <c r="D1098" t="s">
        <v>1081</v>
      </c>
      <c r="E1098" t="s">
        <v>8</v>
      </c>
      <c r="F1098" s="1">
        <f>[1]Residential!B$239-F1072</f>
        <v>1.3014678759800562</v>
      </c>
      <c r="G1098" s="1">
        <f>[1]Residential!C$239-G1072</f>
        <v>1.4624094011115796</v>
      </c>
      <c r="H1098" s="1">
        <f>[1]Residential!D$239-H1072</f>
        <v>0.95324676538258757</v>
      </c>
      <c r="I1098" s="1">
        <f>[1]Residential!E$239-I1072</f>
        <v>1.1752061558608062</v>
      </c>
      <c r="J1098" s="1">
        <f>[2]Residential!F$239-J1072</f>
        <v>1.3268369777538158</v>
      </c>
      <c r="K1098" s="1">
        <f>[2]Residential!G$239-K1072</f>
        <v>1.4469579304085967</v>
      </c>
      <c r="L1098" s="1">
        <f>[2]Residential!H$239-L1072</f>
        <v>1.6804125779830166</v>
      </c>
      <c r="N1098" s="1"/>
    </row>
    <row r="1099" spans="2:14" x14ac:dyDescent="0.35">
      <c r="B1099" s="5" t="str">
        <f t="shared" si="1213"/>
        <v>SPS1</v>
      </c>
      <c r="C1099" s="5" t="str">
        <f t="shared" si="1214"/>
        <v>CH</v>
      </c>
      <c r="D1099" t="s">
        <v>1082</v>
      </c>
      <c r="E1099" t="s">
        <v>8</v>
      </c>
      <c r="F1099" s="1">
        <f>F1100</f>
        <v>0.52047236388696483</v>
      </c>
      <c r="G1099" s="1">
        <f t="shared" ref="G1099:L1099" si="1244">G1100</f>
        <v>0.59724161463805991</v>
      </c>
      <c r="H1099" s="1">
        <f t="shared" si="1244"/>
        <v>1.1580832203962341</v>
      </c>
      <c r="I1099" s="1">
        <f t="shared" si="1244"/>
        <v>1.2375042662603146</v>
      </c>
      <c r="J1099" s="1">
        <f t="shared" si="1244"/>
        <v>1.23756237662122</v>
      </c>
      <c r="K1099" s="1">
        <f t="shared" si="1244"/>
        <v>1.2541071062603804</v>
      </c>
      <c r="L1099" s="1">
        <f t="shared" si="1244"/>
        <v>1.2243522710533963</v>
      </c>
      <c r="N1099" s="1"/>
    </row>
    <row r="1100" spans="2:14" x14ac:dyDescent="0.35">
      <c r="B1100" s="5" t="str">
        <f t="shared" si="1213"/>
        <v>SPS1</v>
      </c>
      <c r="C1100" s="5" t="str">
        <f t="shared" si="1214"/>
        <v>CH</v>
      </c>
      <c r="D1100" t="s">
        <v>1083</v>
      </c>
      <c r="E1100" t="s">
        <v>8</v>
      </c>
      <c r="F1100" s="1">
        <f>[1]Residential!B$240-F1074</f>
        <v>0.52047236388696483</v>
      </c>
      <c r="G1100" s="1">
        <f>[1]Residential!C$240-G1074</f>
        <v>0.59724161463805991</v>
      </c>
      <c r="H1100" s="1">
        <f>[1]Residential!D$240-H1074</f>
        <v>1.1580832203962341</v>
      </c>
      <c r="I1100" s="1">
        <f>[1]Residential!E$240-I1074</f>
        <v>1.2375042662603146</v>
      </c>
      <c r="J1100" s="1">
        <f>[2]Residential!F$240-J1074</f>
        <v>1.23756237662122</v>
      </c>
      <c r="K1100" s="1">
        <f>[2]Residential!G$240-K1074</f>
        <v>1.2541071062603804</v>
      </c>
      <c r="L1100" s="1">
        <f>[2]Residential!H$240-L1074</f>
        <v>1.2243522710533963</v>
      </c>
      <c r="N1100" s="1"/>
    </row>
    <row r="1101" spans="2:14" x14ac:dyDescent="0.35">
      <c r="B1101" s="5" t="str">
        <f t="shared" si="1213"/>
        <v>SPS1</v>
      </c>
      <c r="C1101" s="5" t="str">
        <f t="shared" si="1214"/>
        <v>CH</v>
      </c>
      <c r="D1101" t="s">
        <v>1084</v>
      </c>
      <c r="E1101" t="s">
        <v>8</v>
      </c>
      <c r="F1101" s="1">
        <f>F1102</f>
        <v>0.16979416290968885</v>
      </c>
      <c r="G1101" s="1">
        <f t="shared" ref="G1101" si="1245">G1102</f>
        <v>0.19483722509220414</v>
      </c>
      <c r="H1101" s="1">
        <f t="shared" ref="H1101" si="1246">H1102</f>
        <v>8.2930886575537544E-2</v>
      </c>
      <c r="I1101" s="1">
        <f t="shared" ref="I1101" si="1247">I1102</f>
        <v>0.1392502500647268</v>
      </c>
      <c r="J1101" s="1">
        <f t="shared" ref="J1101" si="1248">J1102</f>
        <v>0.18272333137926078</v>
      </c>
      <c r="K1101" s="1">
        <f t="shared" ref="K1101:L1101" si="1249">K1102</f>
        <v>0.2230966661555428</v>
      </c>
      <c r="L1101" s="1">
        <f t="shared" si="1249"/>
        <v>0.30616012790439351</v>
      </c>
      <c r="N1101" s="1"/>
    </row>
    <row r="1102" spans="2:14" x14ac:dyDescent="0.35">
      <c r="B1102" s="5" t="str">
        <f t="shared" si="1213"/>
        <v>SPS1</v>
      </c>
      <c r="C1102" s="5" t="str">
        <f t="shared" si="1214"/>
        <v>CH</v>
      </c>
      <c r="D1102" t="s">
        <v>1085</v>
      </c>
      <c r="E1102" t="s">
        <v>8</v>
      </c>
      <c r="F1102" s="1">
        <f>[1]Residential!B$241-F1076</f>
        <v>0.16979416290968885</v>
      </c>
      <c r="G1102" s="1">
        <f>[1]Residential!C$241-G1076</f>
        <v>0.19483722509220414</v>
      </c>
      <c r="H1102" s="1">
        <f>[1]Residential!D$241-H1076</f>
        <v>8.2930886575537544E-2</v>
      </c>
      <c r="I1102" s="1">
        <f>[1]Residential!E$241-I1076</f>
        <v>0.1392502500647268</v>
      </c>
      <c r="J1102" s="1">
        <f>[2]Residential!F$241-J1076</f>
        <v>0.18272333137926078</v>
      </c>
      <c r="K1102" s="1">
        <f>[2]Residential!G$241-K1076</f>
        <v>0.2230966661555428</v>
      </c>
      <c r="L1102" s="1">
        <f>[2]Residential!H$241-L1076</f>
        <v>0.30616012790439351</v>
      </c>
      <c r="N1102" s="1"/>
    </row>
    <row r="1103" spans="2:14" x14ac:dyDescent="0.35">
      <c r="B1103" s="5" t="str">
        <f t="shared" si="1213"/>
        <v>SPS1</v>
      </c>
      <c r="C1103" s="5" t="str">
        <f t="shared" si="1214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0">G1104</f>
        <v>1.9867276432802019</v>
      </c>
      <c r="H1103" s="1">
        <f t="shared" ref="H1103" si="1251">H1104</f>
        <v>0.904547782524736</v>
      </c>
      <c r="I1103" s="1">
        <f t="shared" ref="I1103" si="1252">I1104</f>
        <v>1.0742208068571992</v>
      </c>
      <c r="J1103" s="1">
        <f t="shared" ref="J1103" si="1253">J1104</f>
        <v>1.1916289868981327</v>
      </c>
      <c r="K1103" s="1">
        <f t="shared" ref="K1103:L1103" si="1254">K1104</f>
        <v>1.2853364411628689</v>
      </c>
      <c r="L1103" s="1">
        <f t="shared" si="1254"/>
        <v>1.4830710743695474</v>
      </c>
      <c r="N1103" s="1"/>
    </row>
    <row r="1104" spans="2:14" x14ac:dyDescent="0.35">
      <c r="B1104" s="5" t="str">
        <f t="shared" si="1213"/>
        <v>SPS1</v>
      </c>
      <c r="C1104" s="5" t="str">
        <f t="shared" si="1214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1.9867276432802019</v>
      </c>
      <c r="H1104" s="1">
        <f>[1]Residential!D$242-H1078</f>
        <v>0.904547782524736</v>
      </c>
      <c r="I1104" s="1">
        <f>[1]Residential!E$242-I1078</f>
        <v>1.0742208068571992</v>
      </c>
      <c r="J1104" s="1">
        <f>[2]Residential!F$242-J1078</f>
        <v>1.1916289868981327</v>
      </c>
      <c r="K1104" s="1">
        <f>[2]Residential!G$242-K1078</f>
        <v>1.2853364411628689</v>
      </c>
      <c r="L1104" s="1">
        <f>[2]Residential!H$242-L1078</f>
        <v>1.4830710743695474</v>
      </c>
      <c r="N1104" s="1"/>
    </row>
    <row r="1105" spans="2:14" x14ac:dyDescent="0.35">
      <c r="B1105" s="5" t="str">
        <f t="shared" si="1213"/>
        <v>SPS1</v>
      </c>
      <c r="C1105" s="5" t="str">
        <f t="shared" si="1214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5">G1106</f>
        <v>0</v>
      </c>
      <c r="H1105" s="1">
        <f t="shared" ref="H1105" si="1256">H1106</f>
        <v>0</v>
      </c>
      <c r="I1105" s="1">
        <f t="shared" ref="I1105" si="1257">I1106</f>
        <v>0</v>
      </c>
      <c r="J1105" s="1">
        <f t="shared" ref="J1105" si="1258">J1106</f>
        <v>0</v>
      </c>
      <c r="K1105" s="1">
        <f t="shared" ref="K1105:L1105" si="1259">K1106</f>
        <v>0</v>
      </c>
      <c r="L1105" s="1">
        <f t="shared" si="1259"/>
        <v>0</v>
      </c>
      <c r="N1105" s="1"/>
    </row>
    <row r="1106" spans="2:14" x14ac:dyDescent="0.35">
      <c r="B1106" s="5" t="str">
        <f t="shared" si="1213"/>
        <v>SPS1</v>
      </c>
      <c r="C1106" s="5" t="str">
        <f t="shared" si="1214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3"/>
        <v>SPS1</v>
      </c>
      <c r="C1107" s="5" t="str">
        <f t="shared" si="1214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0">B1107</f>
        <v>SPS1</v>
      </c>
      <c r="C1108" s="5" t="str">
        <f t="shared" ref="C1108:C1135" si="126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262">IFERROR(G1058/G975,"-")</f>
        <v>0.95</v>
      </c>
      <c r="H1109" s="4">
        <f t="shared" si="1262"/>
        <v>0.91795474375879282</v>
      </c>
      <c r="I1109" s="4">
        <f t="shared" si="1262"/>
        <v>0.92350425157563854</v>
      </c>
      <c r="J1109" s="4">
        <f t="shared" si="1262"/>
        <v>0.94299655463159204</v>
      </c>
      <c r="K1109" s="4">
        <f t="shared" si="1262"/>
        <v>0.94809782961476075</v>
      </c>
      <c r="L1109" s="4">
        <f t="shared" ref="L1109" si="1263">IFERROR(L1058/L975,"-")</f>
        <v>0.94949294352277558</v>
      </c>
      <c r="N1109" s="1"/>
    </row>
    <row r="1110" spans="2:14" x14ac:dyDescent="0.35">
      <c r="B1110" s="5" t="str">
        <f t="shared" si="1260"/>
        <v>SPS1</v>
      </c>
      <c r="C1110" s="5" t="str">
        <f t="shared" si="1261"/>
        <v>CH</v>
      </c>
      <c r="D1110" t="s">
        <v>1122</v>
      </c>
      <c r="E1110" t="s">
        <v>240</v>
      </c>
      <c r="F1110" s="4">
        <f>IFERROR(F1059/F976,"-")</f>
        <v>3.200000000000002</v>
      </c>
      <c r="G1110" s="4">
        <f t="shared" si="1262"/>
        <v>3.2533333333333307</v>
      </c>
      <c r="H1110" s="4">
        <f t="shared" si="1262"/>
        <v>2.9762781854510902</v>
      </c>
      <c r="I1110" s="4">
        <f t="shared" si="1262"/>
        <v>3.1873717593515818</v>
      </c>
      <c r="J1110" s="4">
        <f t="shared" si="1262"/>
        <v>3.3376496849826598</v>
      </c>
      <c r="K1110" s="4">
        <f t="shared" si="1262"/>
        <v>3.4628921402161499</v>
      </c>
      <c r="L1110" s="4">
        <f t="shared" ref="L1110" si="1264">IFERROR(L1059/L976,"-")</f>
        <v>3.7532954108339744</v>
      </c>
      <c r="N1110" s="1"/>
    </row>
    <row r="1111" spans="2:14" x14ac:dyDescent="0.35">
      <c r="B1111" s="5" t="str">
        <f t="shared" si="1260"/>
        <v>SPS1</v>
      </c>
      <c r="C1111" s="5" t="str">
        <f t="shared" si="1261"/>
        <v>CH</v>
      </c>
      <c r="D1111" t="s">
        <v>1092</v>
      </c>
      <c r="E1111" t="s">
        <v>240</v>
      </c>
      <c r="F1111" s="4">
        <f>IFERROR(F1061/F985,"-")</f>
        <v>0.89583333333333415</v>
      </c>
      <c r="G1111" s="4">
        <f t="shared" ref="G1111:K1111" si="1265">IFERROR(G1061/G985,"-")</f>
        <v>0.89583333333333348</v>
      </c>
      <c r="H1111" s="4">
        <f t="shared" si="1265"/>
        <v>0.8550040905670977</v>
      </c>
      <c r="I1111" s="4">
        <f t="shared" si="1265"/>
        <v>0.87021795226944632</v>
      </c>
      <c r="J1111" s="4">
        <f t="shared" si="1265"/>
        <v>0.88013351754882641</v>
      </c>
      <c r="K1111" s="4">
        <f t="shared" si="1265"/>
        <v>0.88395521565501478</v>
      </c>
      <c r="L1111" s="4">
        <f t="shared" ref="L1111" si="1266">IFERROR(L1061/L985,"-")</f>
        <v>0.88597468364000009</v>
      </c>
      <c r="N1111" s="1"/>
    </row>
    <row r="1112" spans="2:14" x14ac:dyDescent="0.35">
      <c r="B1112" s="5" t="str">
        <f t="shared" si="1260"/>
        <v>SPS1</v>
      </c>
      <c r="C1112" s="5" t="str">
        <f t="shared" si="1261"/>
        <v>CH</v>
      </c>
      <c r="D1112" t="s">
        <v>1093</v>
      </c>
      <c r="E1112" t="s">
        <v>240</v>
      </c>
      <c r="F1112" s="4">
        <f>IFERROR(F1063/F998,"-")</f>
        <v>0.9500000000000004</v>
      </c>
      <c r="G1112" s="4">
        <f t="shared" ref="G1112:K1112" si="1267">IFERROR(G1063/G998,"-")</f>
        <v>0.94999999999999962</v>
      </c>
      <c r="H1112" s="4">
        <f t="shared" si="1267"/>
        <v>0.93514218669219351</v>
      </c>
      <c r="I1112" s="4">
        <f t="shared" si="1267"/>
        <v>0.94139796480781412</v>
      </c>
      <c r="J1112" s="4">
        <f t="shared" si="1267"/>
        <v>0.94482338945262401</v>
      </c>
      <c r="K1112" s="4">
        <f t="shared" si="1267"/>
        <v>0.94654887143488331</v>
      </c>
      <c r="L1112" s="4">
        <f t="shared" ref="L1112" si="1268">IFERROR(L1063/L998,"-")</f>
        <v>0.95067473743552533</v>
      </c>
      <c r="N1112" s="1"/>
    </row>
    <row r="1113" spans="2:14" x14ac:dyDescent="0.35">
      <c r="B1113" s="5" t="str">
        <f t="shared" si="1260"/>
        <v>SPS1</v>
      </c>
      <c r="C1113" s="5" t="str">
        <f t="shared" si="126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69">IFERROR(G1064/G999,"-")</f>
        <v>-</v>
      </c>
      <c r="H1113" s="4">
        <f t="shared" si="1269"/>
        <v>1.8544403165162948</v>
      </c>
      <c r="I1113" s="4">
        <f t="shared" si="1269"/>
        <v>1.9079953320289986</v>
      </c>
      <c r="J1113" s="4">
        <f t="shared" si="1269"/>
        <v>1.938499979256769</v>
      </c>
      <c r="K1113" s="4">
        <f t="shared" si="1269"/>
        <v>1.96237984511488</v>
      </c>
      <c r="L1113" s="4">
        <f t="shared" ref="L1113" si="1270">IFERROR(L1064/L999,"-")</f>
        <v>2.0078038927854873</v>
      </c>
      <c r="N1113" s="1"/>
    </row>
    <row r="1114" spans="2:14" x14ac:dyDescent="0.35">
      <c r="B1114" s="5" t="str">
        <f t="shared" si="1260"/>
        <v>SPS1</v>
      </c>
      <c r="C1114" s="5" t="str">
        <f t="shared" si="1261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71">IFERROR(G1066/G1017,"-")</f>
        <v>0.72000000000000053</v>
      </c>
      <c r="H1114" s="4">
        <f t="shared" si="1271"/>
        <v>0.79930067458572684</v>
      </c>
      <c r="I1114" s="4">
        <f t="shared" si="1271"/>
        <v>0.79991113432360383</v>
      </c>
      <c r="J1114" s="4">
        <f t="shared" si="1271"/>
        <v>0.80000000000000038</v>
      </c>
      <c r="K1114" s="4" t="str">
        <f t="shared" si="1271"/>
        <v>-</v>
      </c>
      <c r="L1114" s="4" t="str">
        <f t="shared" ref="L1114" si="1272">IFERROR(L1066/L1017,"-")</f>
        <v>-</v>
      </c>
      <c r="N1114" s="1"/>
    </row>
    <row r="1115" spans="2:14" x14ac:dyDescent="0.35">
      <c r="B1115" s="5" t="str">
        <f t="shared" si="1260"/>
        <v>SPS1</v>
      </c>
      <c r="C1115" s="5" t="str">
        <f t="shared" si="126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0"/>
        <v>SPS1</v>
      </c>
      <c r="C1116" s="5" t="str">
        <f t="shared" si="126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0"/>
        <v>SPS1</v>
      </c>
      <c r="C1117" s="5" t="str">
        <f t="shared" si="126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0"/>
        <v>SPS1</v>
      </c>
      <c r="C1118" s="5" t="str">
        <f t="shared" si="126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0"/>
        <v>SPS1</v>
      </c>
      <c r="C1119" s="5" t="str">
        <f t="shared" si="1261"/>
        <v>CH</v>
      </c>
      <c r="D1119" t="s">
        <v>1100</v>
      </c>
      <c r="E1119" t="s">
        <v>240</v>
      </c>
      <c r="F1119" s="4">
        <f>IFERROR(F1074/F1022,"-")</f>
        <v>0.7200000000000002</v>
      </c>
      <c r="G1119" s="4">
        <f t="shared" ref="G1119:K1119" si="1273">IFERROR(G1074/G1022,"-")</f>
        <v>0.7200000000000002</v>
      </c>
      <c r="H1119" s="4">
        <f t="shared" si="1273"/>
        <v>0.71989072035802282</v>
      </c>
      <c r="I1119" s="4">
        <f t="shared" si="1273"/>
        <v>0.73075278453957515</v>
      </c>
      <c r="J1119" s="4">
        <f t="shared" si="1273"/>
        <v>0.73634581767818985</v>
      </c>
      <c r="K1119" s="4">
        <f t="shared" si="1273"/>
        <v>0.73955798075554624</v>
      </c>
      <c r="L1119" s="4">
        <f t="shared" ref="L1119" si="1274">IFERROR(L1074/L1022,"-")</f>
        <v>0.7484646937734134</v>
      </c>
      <c r="N1119" s="1"/>
    </row>
    <row r="1120" spans="2:14" x14ac:dyDescent="0.35">
      <c r="B1120" s="5" t="str">
        <f t="shared" si="1260"/>
        <v>SPS1</v>
      </c>
      <c r="C1120" s="5" t="str">
        <f t="shared" si="1261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75">IFERROR(G1076/G1027,"-")</f>
        <v>0.89999999999999991</v>
      </c>
      <c r="H1120" s="4">
        <f t="shared" si="1275"/>
        <v>0.73711653334527294</v>
      </c>
      <c r="I1120" s="4">
        <f t="shared" si="1275"/>
        <v>0.74227413687160559</v>
      </c>
      <c r="J1120" s="4">
        <f t="shared" si="1275"/>
        <v>0.74489503476052588</v>
      </c>
      <c r="K1120" s="4">
        <f t="shared" si="1275"/>
        <v>0.74591280474511501</v>
      </c>
      <c r="L1120" s="4">
        <f t="shared" ref="L1120" si="1276">IFERROR(L1076/L1027,"-")</f>
        <v>0.7502926859200677</v>
      </c>
      <c r="N1120" s="1"/>
    </row>
    <row r="1121" spans="2:14" x14ac:dyDescent="0.35">
      <c r="B1121" s="5" t="str">
        <f t="shared" si="1260"/>
        <v>SPS1</v>
      </c>
      <c r="C1121" s="5" t="str">
        <f t="shared" si="126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0"/>
        <v>SPS1</v>
      </c>
      <c r="C1122" s="5" t="str">
        <f t="shared" si="126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7">IFERROR(G1080/G1039,"-")</f>
        <v>-</v>
      </c>
      <c r="H1122" s="4" t="str">
        <f t="shared" si="1277"/>
        <v>-</v>
      </c>
      <c r="I1122" s="4" t="str">
        <f t="shared" si="1277"/>
        <v>-</v>
      </c>
      <c r="J1122" s="4" t="str">
        <f t="shared" si="1277"/>
        <v>-</v>
      </c>
      <c r="K1122" s="4" t="str">
        <f t="shared" si="1277"/>
        <v>-</v>
      </c>
      <c r="L1122" s="4" t="str">
        <f t="shared" ref="L1122" si="1278">IFERROR(L1080/L1039,"-")</f>
        <v>-</v>
      </c>
      <c r="N1122" s="1"/>
    </row>
    <row r="1123" spans="2:14" x14ac:dyDescent="0.35">
      <c r="B1123" s="5" t="str">
        <f t="shared" si="1260"/>
        <v>SPS1</v>
      </c>
      <c r="C1123" s="5" t="str">
        <f t="shared" si="1261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79">IFERROR(G1084/G978,"-")</f>
        <v>0.79200000000000004</v>
      </c>
      <c r="H1123" s="4">
        <f t="shared" si="1279"/>
        <v>0.46575184468021613</v>
      </c>
      <c r="I1123" s="4">
        <f t="shared" si="1279"/>
        <v>0.48202809825242665</v>
      </c>
      <c r="J1123" s="4">
        <f t="shared" si="1279"/>
        <v>0.49512456838628383</v>
      </c>
      <c r="K1123" s="4">
        <f t="shared" si="1279"/>
        <v>0.5025616267070584</v>
      </c>
      <c r="L1123" s="4">
        <f t="shared" ref="L1123" si="1280">IFERROR(L1084/L978,"-")</f>
        <v>0.51653060842409559</v>
      </c>
      <c r="N1123" s="1"/>
    </row>
    <row r="1124" spans="2:14" x14ac:dyDescent="0.35">
      <c r="B1124" s="5" t="str">
        <f t="shared" si="1260"/>
        <v>SPS1</v>
      </c>
      <c r="C1124" s="5" t="str">
        <f t="shared" si="126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79"/>
        <v>2.8259999999999987</v>
      </c>
      <c r="H1124" s="4">
        <f t="shared" si="1279"/>
        <v>1.87928939550736</v>
      </c>
      <c r="I1124" s="4">
        <f t="shared" si="1279"/>
        <v>2.0388694832579315</v>
      </c>
      <c r="J1124" s="4">
        <f t="shared" si="1279"/>
        <v>2.1516516300675392</v>
      </c>
      <c r="K1124" s="4">
        <f t="shared" si="1279"/>
        <v>2.2401797349139092</v>
      </c>
      <c r="L1124" s="4">
        <f t="shared" ref="L1124" si="1281">IFERROR(L1085/L979,"-")</f>
        <v>2.446712902326909</v>
      </c>
      <c r="N1124" s="1"/>
    </row>
    <row r="1125" spans="2:14" x14ac:dyDescent="0.35">
      <c r="B1125" s="5" t="str">
        <f t="shared" si="1260"/>
        <v>SPS1</v>
      </c>
      <c r="C1125" s="5" t="str">
        <f t="shared" si="1261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82">IFERROR(G1087/G991,"-")</f>
        <v>0.71458333333333246</v>
      </c>
      <c r="H1125" s="4">
        <f t="shared" si="1282"/>
        <v>0.50394896440992032</v>
      </c>
      <c r="I1125" s="4">
        <f t="shared" si="1282"/>
        <v>0.52592965097518607</v>
      </c>
      <c r="J1125" s="4">
        <f t="shared" si="1282"/>
        <v>0.54413716219337827</v>
      </c>
      <c r="K1125" s="4">
        <f t="shared" si="1282"/>
        <v>0.55291598736414405</v>
      </c>
      <c r="L1125" s="4">
        <f t="shared" ref="L1125" si="1283">IFERROR(L1087/L991,"-")</f>
        <v>0.56760156675066786</v>
      </c>
      <c r="N1125" s="1"/>
    </row>
    <row r="1126" spans="2:14" x14ac:dyDescent="0.35">
      <c r="B1126" s="5" t="str">
        <f t="shared" si="1260"/>
        <v>SPS1</v>
      </c>
      <c r="C1126" s="5" t="str">
        <f t="shared" si="126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284">IFERROR(G1089/G1007,"-")</f>
        <v>0.75400000000000034</v>
      </c>
      <c r="H1126" s="4">
        <f t="shared" si="1284"/>
        <v>0.53089859113380322</v>
      </c>
      <c r="I1126" s="4">
        <f t="shared" si="1284"/>
        <v>0.55107153056370461</v>
      </c>
      <c r="J1126" s="4">
        <f t="shared" si="1284"/>
        <v>0.56365707818709998</v>
      </c>
      <c r="K1126" s="4">
        <f t="shared" si="1284"/>
        <v>0.57040498711491572</v>
      </c>
      <c r="L1126" s="4">
        <f t="shared" ref="L1126" si="1285">IFERROR(L1089/L1007,"-")</f>
        <v>0.58797865452727494</v>
      </c>
      <c r="N1126" s="1"/>
    </row>
    <row r="1127" spans="2:14" x14ac:dyDescent="0.35">
      <c r="B1127" s="5" t="str">
        <f t="shared" si="1260"/>
        <v>SPS1</v>
      </c>
      <c r="C1127" s="5" t="str">
        <f t="shared" si="126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6">IFERROR(G1090/G1008,"-")</f>
        <v>-</v>
      </c>
      <c r="H1127" s="4">
        <f t="shared" si="1286"/>
        <v>2.0027555090693809</v>
      </c>
      <c r="I1127" s="4">
        <f t="shared" si="1286"/>
        <v>2.1675997933732827</v>
      </c>
      <c r="J1127" s="4">
        <f t="shared" si="1286"/>
        <v>2.2707456372893495</v>
      </c>
      <c r="K1127" s="4">
        <f t="shared" si="1286"/>
        <v>2.3524017676528075</v>
      </c>
      <c r="L1127" s="4">
        <f t="shared" ref="L1127" si="1287">IFERROR(L1090/L1008,"-")</f>
        <v>2.5286336964334399</v>
      </c>
      <c r="N1127" s="1"/>
    </row>
    <row r="1128" spans="2:14" x14ac:dyDescent="0.35">
      <c r="B1128" s="5" t="str">
        <f t="shared" si="1260"/>
        <v>SPS1</v>
      </c>
      <c r="C1128" s="5" t="str">
        <f t="shared" si="126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0"/>
        <v>SPS1</v>
      </c>
      <c r="C1129" s="5" t="str">
        <f t="shared" si="126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0"/>
        <v>SPS1</v>
      </c>
      <c r="C1130" s="5" t="str">
        <f t="shared" si="126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0"/>
        <v>SPS1</v>
      </c>
      <c r="C1131" s="5" t="str">
        <f t="shared" si="126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0"/>
        <v>SPS1</v>
      </c>
      <c r="C1132" s="5" t="str">
        <f t="shared" si="126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88">IFERROR(G1100/G1024,"-")</f>
        <v>0.49999999999999989</v>
      </c>
      <c r="H1132" s="4">
        <f t="shared" si="1288"/>
        <v>0.4383411362313881</v>
      </c>
      <c r="I1132" s="4">
        <f t="shared" si="1288"/>
        <v>0.45156203521541599</v>
      </c>
      <c r="J1132" s="4">
        <f t="shared" si="1288"/>
        <v>0.46075148739031402</v>
      </c>
      <c r="K1132" s="4">
        <f t="shared" si="1288"/>
        <v>0.46861324766770901</v>
      </c>
      <c r="L1132" s="4">
        <f t="shared" ref="L1132" si="1289">IFERROR(L1100/L1024,"-")</f>
        <v>0.48617105749718958</v>
      </c>
      <c r="N1132" s="1"/>
    </row>
    <row r="1133" spans="2:14" x14ac:dyDescent="0.35">
      <c r="B1133" s="5" t="str">
        <f t="shared" si="1260"/>
        <v>SPS1</v>
      </c>
      <c r="C1133" s="5" t="str">
        <f t="shared" si="1261"/>
        <v>CH</v>
      </c>
      <c r="D1133" t="s">
        <v>1112</v>
      </c>
      <c r="E1133" t="s">
        <v>240</v>
      </c>
      <c r="F1133" s="4">
        <f>IFERROR(F1102/F1029,"-")</f>
        <v>0.62499999999999967</v>
      </c>
      <c r="G1133" s="4">
        <f t="shared" ref="G1133:K1133" si="1290">IFERROR(G1102/G1029,"-")</f>
        <v>0.62500000000000111</v>
      </c>
      <c r="H1133" s="4">
        <f t="shared" si="1290"/>
        <v>0.45621468890354144</v>
      </c>
      <c r="I1133" s="4">
        <f t="shared" si="1290"/>
        <v>0.4639075216303139</v>
      </c>
      <c r="J1133" s="4">
        <f t="shared" si="1290"/>
        <v>0.46956647891178294</v>
      </c>
      <c r="K1133" s="4">
        <f t="shared" si="1290"/>
        <v>0.4751400361785667</v>
      </c>
      <c r="L1133" s="4">
        <f t="shared" ref="L1133" si="1291">IFERROR(L1102/L1029,"-")</f>
        <v>0.48678624493459643</v>
      </c>
      <c r="N1133" s="1"/>
    </row>
    <row r="1134" spans="2:14" x14ac:dyDescent="0.35">
      <c r="B1134" s="5" t="str">
        <f t="shared" si="1260"/>
        <v>SPS1</v>
      </c>
      <c r="C1134" s="5" t="str">
        <f t="shared" si="126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0"/>
        <v>SPS1</v>
      </c>
      <c r="C1135" s="5" t="str">
        <f t="shared" si="126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2">IFERROR(G1106/G1041,"-")</f>
        <v>-</v>
      </c>
      <c r="H1135" s="4" t="str">
        <f t="shared" si="1292"/>
        <v>-</v>
      </c>
      <c r="I1135" s="4" t="str">
        <f t="shared" si="1292"/>
        <v>-</v>
      </c>
      <c r="J1135" s="4" t="str">
        <f t="shared" si="1292"/>
        <v>-</v>
      </c>
      <c r="K1135" s="4" t="str">
        <f t="shared" si="1292"/>
        <v>-</v>
      </c>
      <c r="L1135" s="4" t="str">
        <f t="shared" ref="L1135" si="1293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4">F1137+F1152+F1157+F1180+F1203</f>
        <v>138.99839162778409</v>
      </c>
      <c r="G1136" s="3">
        <f t="shared" si="1294"/>
        <v>133.28535546529415</v>
      </c>
      <c r="H1136" s="3">
        <f t="shared" si="1294"/>
        <v>121.34705430351116</v>
      </c>
      <c r="I1136" s="3">
        <f t="shared" si="1294"/>
        <v>88.208407996674268</v>
      </c>
      <c r="J1136" s="3">
        <f t="shared" si="1294"/>
        <v>64.712951505745863</v>
      </c>
      <c r="K1136" s="3">
        <f t="shared" si="1294"/>
        <v>63.218374367985945</v>
      </c>
      <c r="L1136" s="3">
        <f t="shared" ref="L1136" si="1295">L1137+L1152+L1157+L1180+L1203</f>
        <v>52.04085945955007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0.74113242894747999</v>
      </c>
      <c r="G1137" s="1">
        <f t="shared" ref="G1137:K1137" si="1296">SUM(G1138:G1151)</f>
        <v>1.7850803866974245</v>
      </c>
      <c r="H1137" s="1">
        <f t="shared" si="1296"/>
        <v>4.4344638350533776</v>
      </c>
      <c r="I1137" s="1">
        <f t="shared" si="1296"/>
        <v>18.150841258348329</v>
      </c>
      <c r="J1137" s="1">
        <f t="shared" si="1296"/>
        <v>28.693027522425201</v>
      </c>
      <c r="K1137" s="1">
        <f t="shared" si="1296"/>
        <v>29.072243524074278</v>
      </c>
      <c r="L1137" s="1">
        <f t="shared" ref="L1137" si="1297">SUM(L1138:L1151)</f>
        <v>27.882378876450737</v>
      </c>
      <c r="N1137" s="1"/>
    </row>
    <row r="1138" spans="2:14" x14ac:dyDescent="0.35">
      <c r="B1138" s="5" t="str">
        <f t="shared" ref="B1138:B1217" si="1298">B1137</f>
        <v>SPS1</v>
      </c>
      <c r="C1138" s="5" t="str">
        <f t="shared" ref="C1138:C1217" si="129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0.46789252167355011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0.37693227610266727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0.2622297014713173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0.11309566491793999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8"/>
        <v>SPS1</v>
      </c>
      <c r="C1139" s="5" t="str">
        <f t="shared" si="129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7.7184738716292983E-3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1.2332499596810409E-2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8.8081851176702759E-3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8.0895489219414852E-3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2.0366645558988722E-3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4.0156607190164019E-3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0.2769880681923006</v>
      </c>
      <c r="N1139" s="1"/>
    </row>
    <row r="1140" spans="2:14" x14ac:dyDescent="0.35">
      <c r="B1140" s="5" t="str">
        <f t="shared" si="1298"/>
        <v>SPS1</v>
      </c>
      <c r="C1140" s="5" t="str">
        <f t="shared" si="129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6.620307103599167E-2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0.10244303760823706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0.12739245272037039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5.2107980955175224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9.8595436933892042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11.016866773395016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9.8187688350998563</v>
      </c>
      <c r="N1140" s="1"/>
    </row>
    <row r="1141" spans="2:14" x14ac:dyDescent="0.35">
      <c r="B1141" s="5" t="str">
        <f t="shared" si="1298"/>
        <v>SPS1</v>
      </c>
      <c r="C1141" s="5" t="str">
        <f t="shared" si="129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4.6262405836559432E-2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0.11723542279966412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0.12393515354525129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0.3499146292839368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2.88266267123926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3.2307016420462968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2.8820106331359123</v>
      </c>
      <c r="N1141" s="1"/>
    </row>
    <row r="1142" spans="2:14" x14ac:dyDescent="0.35">
      <c r="B1142" s="5" t="str">
        <f t="shared" si="1298"/>
        <v>SPS1</v>
      </c>
      <c r="C1142" s="5" t="str">
        <f t="shared" si="129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0.15037452498288956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1.0701997791297504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3.5810069951078796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10.610219769171758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12.46533020303101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10.462111262750554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10.081030502446316</v>
      </c>
      <c r="N1142" s="1"/>
    </row>
    <row r="1143" spans="2:14" x14ac:dyDescent="0.35">
      <c r="B1143" s="5" t="str">
        <f t="shared" si="1298"/>
        <v>SPS1</v>
      </c>
      <c r="C1143" s="5" t="str">
        <f t="shared" si="129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2.7166740742910807E-5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3.3310515280820994E-5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5.6722368716421432E-5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2.605859640302795E-5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3.0102653726102799E-5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2.7267472878403002E-5</v>
      </c>
      <c r="N1143" s="1"/>
    </row>
    <row r="1144" spans="2:14" x14ac:dyDescent="0.35">
      <c r="B1144" s="5" t="str">
        <f t="shared" si="1298"/>
        <v>SPS1</v>
      </c>
      <c r="C1144" s="5" t="str">
        <f t="shared" si="129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2.6814315468601142E-3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7.9483341195045101E-3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9.2740415631481256E-3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1.211229370109383E-2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1.7410551069793349E-3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1.8067076385554147E-4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1.579581579173043E-4</v>
      </c>
      <c r="N1144" s="1"/>
    </row>
    <row r="1145" spans="2:14" x14ac:dyDescent="0.35">
      <c r="B1145" s="5" t="str">
        <f t="shared" si="1298"/>
        <v>SPS1</v>
      </c>
      <c r="C1145" s="5" t="str">
        <f t="shared" si="129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6.8961262081119357E-2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0.16388389330326433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1.0528681986291055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1.3579961271564152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1.4326323711098568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1.6106887259515565</v>
      </c>
      <c r="N1145" s="1"/>
    </row>
    <row r="1146" spans="2:14" x14ac:dyDescent="0.35">
      <c r="B1146" s="5" t="str">
        <f t="shared" si="1298"/>
        <v>SPS1</v>
      </c>
      <c r="C1146" s="5" t="str">
        <f t="shared" si="129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1.7553211807625483E-2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2.0449031390961055E-2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2.5357339760772007E-2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4.205544506852431E-3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2.6488399055045952E-4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2.0113268299939125E-4</v>
      </c>
      <c r="N1146" s="1"/>
    </row>
    <row r="1147" spans="2:14" x14ac:dyDescent="0.35">
      <c r="B1147" s="5" t="str">
        <f t="shared" ref="B1147:B1151" si="1300">B1146</f>
        <v>SPS1</v>
      </c>
      <c r="C1147" s="5" t="str">
        <f t="shared" ref="C1147:C1151" si="130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1.6987529496601948E-5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2.4133820371971826E-5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4.702595845467464E-5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2.6838972209039531E-5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3.0212061432694074E-5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2.7648663837800407E-5</v>
      </c>
      <c r="N1147" s="1"/>
    </row>
    <row r="1148" spans="2:14" x14ac:dyDescent="0.35">
      <c r="B1148" s="5" t="str">
        <f t="shared" si="1300"/>
        <v>SPS1</v>
      </c>
      <c r="C1148" s="5" t="str">
        <f t="shared" si="130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1.5039389810593712E-5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5.787730304971146E-5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1.5195952181434918E-4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1.4007837057024818E-4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1.9963359107776259E-4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1.6634324842781638E-4</v>
      </c>
      <c r="N1148" s="1"/>
    </row>
    <row r="1149" spans="2:14" x14ac:dyDescent="0.35">
      <c r="B1149" s="5" t="str">
        <f t="shared" si="1300"/>
        <v>SPS1</v>
      </c>
      <c r="C1149" s="5" t="str">
        <f t="shared" si="130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1.0363295057919525E-2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0.13665267146579357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0.76228421009880165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2.1153136204491685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2.9219894070370884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3.2105169948371035</v>
      </c>
      <c r="N1149" s="1"/>
    </row>
    <row r="1150" spans="2:14" x14ac:dyDescent="0.35">
      <c r="B1150" s="5" t="str">
        <f t="shared" si="1300"/>
        <v>SPS1</v>
      </c>
      <c r="C1150" s="5" t="str">
        <f t="shared" si="130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1.0520747340759919E-3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7.1638772901813142E-4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1.789823036327112E-3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5.3601246746956327E-4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2.8349570767351536E-4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2.0764029104491748E-4</v>
      </c>
      <c r="N1150" s="1"/>
    </row>
    <row r="1151" spans="2:14" x14ac:dyDescent="0.35">
      <c r="B1151" s="5" t="str">
        <f t="shared" si="1300"/>
        <v>SPS1</v>
      </c>
      <c r="C1151" s="5" t="str">
        <f t="shared" si="130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4.0559774601468066E-3</v>
      </c>
      <c r="J1151" s="1">
        <f>[2]Transport!F$32</f>
        <v>3.4689545837608554E-3</v>
      </c>
      <c r="K1151" s="1">
        <f>[2]Transport!G$32</f>
        <v>2.9374082481378192E-3</v>
      </c>
      <c r="L1151" s="1">
        <f>[2]Transport!H$32</f>
        <v>1.5871262705839993E-3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4.1354261509203571E-4</v>
      </c>
      <c r="G1152" s="1">
        <f t="shared" ref="G1152:K1152" si="1302">SUM(G1153:G1156)</f>
        <v>1.5503754335489299E-3</v>
      </c>
      <c r="H1152" s="1">
        <f t="shared" si="1302"/>
        <v>1.4681990109577901E-3</v>
      </c>
      <c r="I1152" s="1">
        <f t="shared" si="1302"/>
        <v>3.4913251898102762E-5</v>
      </c>
      <c r="J1152" s="1">
        <f t="shared" si="1302"/>
        <v>1.8256343802955437E-5</v>
      </c>
      <c r="K1152" s="1">
        <f t="shared" si="1302"/>
        <v>1.7619578881899113E-5</v>
      </c>
      <c r="L1152" s="1">
        <f t="shared" ref="L1152" si="1303">SUM(L1153:L1156)</f>
        <v>1.7660102067985493E-5</v>
      </c>
      <c r="N1152" s="1"/>
    </row>
    <row r="1153" spans="2:14" x14ac:dyDescent="0.35">
      <c r="B1153" s="5" t="str">
        <f t="shared" si="1298"/>
        <v>SPS1</v>
      </c>
      <c r="C1153" s="5" t="str">
        <f t="shared" si="129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5.8549628154083497E-6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7.741618998068781E-6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1.5068939849869208E-6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2.1302468585612227E-6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2.2704690005909155E-6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1.6159945052690235E-6</v>
      </c>
      <c r="N1153" s="1"/>
    </row>
    <row r="1154" spans="2:14" x14ac:dyDescent="0.35">
      <c r="B1154" s="5" t="str">
        <f t="shared" si="1298"/>
        <v>SPS1</v>
      </c>
      <c r="C1154" s="5" t="str">
        <f t="shared" si="129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1.4460400849233071E-5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2.508753722802475E-5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3.0641229157106756E-5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6.8935996963156808E-6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5.0324960299801878E-6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4.780298068052904E-6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4.2346848128627503E-6</v>
      </c>
      <c r="N1154" s="1"/>
    </row>
    <row r="1155" spans="2:14" x14ac:dyDescent="0.35">
      <c r="B1155" s="5" t="str">
        <f t="shared" si="1298"/>
        <v>SPS1</v>
      </c>
      <c r="C1155" s="5" t="str">
        <f t="shared" si="129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3.9908221424280263E-4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1.5141159413761605E-3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1.4206088457061126E-3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2.1256629844862746E-5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6.234146557334077E-6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5.2484393175471501E-6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5.7129308968521975E-6</v>
      </c>
      <c r="N1155" s="1"/>
    </row>
    <row r="1156" spans="2:14" x14ac:dyDescent="0.35">
      <c r="B1156" s="5" t="str">
        <f t="shared" si="1298"/>
        <v>SPS1</v>
      </c>
      <c r="C1156" s="5" t="str">
        <f t="shared" si="129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5.3169921293364752E-6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9.2073170965021441E-6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5.2561283719374131E-6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4.859454357079949E-6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5.3203724957081439E-6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6.0964918530015204E-6</v>
      </c>
      <c r="N1156" s="1"/>
    </row>
    <row r="1157" spans="2:14" x14ac:dyDescent="0.35">
      <c r="B1157" s="5" t="str">
        <f t="shared" si="1298"/>
        <v>SPS1</v>
      </c>
      <c r="C1157" s="5" t="str">
        <f t="shared" si="1299"/>
        <v>CH</v>
      </c>
      <c r="D1157" t="s">
        <v>1257</v>
      </c>
      <c r="E1157" t="s">
        <v>8</v>
      </c>
      <c r="F1157" s="1">
        <f>SUM(F1162:F1179)</f>
        <v>78.351060768218559</v>
      </c>
      <c r="G1157" s="1">
        <f t="shared" ref="G1157:K1157" si="1304">SUM(G1162:G1179)</f>
        <v>72.742965435905731</v>
      </c>
      <c r="H1157" s="1">
        <f t="shared" si="1304"/>
        <v>70.721365937041909</v>
      </c>
      <c r="I1157" s="1">
        <f t="shared" si="1304"/>
        <v>41.538225456930554</v>
      </c>
      <c r="J1157" s="1">
        <f t="shared" si="1304"/>
        <v>24.046044669900954</v>
      </c>
      <c r="K1157" s="1">
        <f t="shared" si="1304"/>
        <v>24.168587361807589</v>
      </c>
      <c r="L1157" s="1">
        <f t="shared" ref="L1157" si="1305">SUM(L1162:L1179)</f>
        <v>18.333540813463465</v>
      </c>
      <c r="N1157" s="1"/>
    </row>
    <row r="1158" spans="2:14" x14ac:dyDescent="0.35">
      <c r="B1158" s="5" t="str">
        <f>B1157</f>
        <v>SPS1</v>
      </c>
      <c r="C1158" s="5" t="str">
        <f t="shared" si="1299"/>
        <v>CH</v>
      </c>
      <c r="D1158" t="s">
        <v>1258</v>
      </c>
      <c r="E1158" t="str">
        <f>E1157</f>
        <v>PJ/yr.</v>
      </c>
      <c r="F1158" s="1">
        <f t="shared" ref="F1158:J1158" si="1306">IF(F1157-F1159&lt;0,0,F1157-F1159)</f>
        <v>74.062091539776475</v>
      </c>
      <c r="G1158" s="1">
        <f t="shared" si="1306"/>
        <v>68.760976733131983</v>
      </c>
      <c r="H1158" s="1">
        <f t="shared" si="1306"/>
        <v>66.850053706127454</v>
      </c>
      <c r="I1158" s="1">
        <f t="shared" si="1306"/>
        <v>39.263592253829515</v>
      </c>
      <c r="J1158" s="1">
        <f t="shared" si="1306"/>
        <v>22.676718725147865</v>
      </c>
      <c r="K1158" s="1">
        <f>IF(K1157-K1159&lt;0,0,K1157-K1159)</f>
        <v>22.845555902480505</v>
      </c>
      <c r="L1158" s="1">
        <f>IF(L1157-L1159&lt;0,0,L1157-L1159)</f>
        <v>17.329929641817142</v>
      </c>
      <c r="N1158" s="1"/>
    </row>
    <row r="1159" spans="2:14" x14ac:dyDescent="0.35">
      <c r="B1159" s="5" t="str">
        <f t="shared" ref="B1159:B1161" si="1307">B1158</f>
        <v>SPS1</v>
      </c>
      <c r="C1159" s="5" t="str">
        <f t="shared" si="1299"/>
        <v>CH</v>
      </c>
      <c r="D1159" t="s">
        <v>1259</v>
      </c>
      <c r="E1159" t="str">
        <f>E1158</f>
        <v>PJ/yr.</v>
      </c>
      <c r="F1159" s="1">
        <f>SUM(F1160:F1161)</f>
        <v>4.2889692284420864</v>
      </c>
      <c r="G1159" s="1">
        <f t="shared" ref="G1159" si="1308">SUM(G1160:G1161)</f>
        <v>3.9819887027737462</v>
      </c>
      <c r="H1159" s="1">
        <f t="shared" ref="H1159" si="1309">SUM(H1160:H1161)</f>
        <v>3.871312230914453</v>
      </c>
      <c r="I1159" s="1">
        <f t="shared" ref="I1159" si="1310">SUM(I1160:I1161)</f>
        <v>2.2746332031010361</v>
      </c>
      <c r="J1159" s="1">
        <f t="shared" ref="J1159" si="1311">SUM(J1160:J1161)</f>
        <v>1.3693259447530899</v>
      </c>
      <c r="K1159" s="1">
        <f t="shared" ref="K1159:L1159" si="1312">SUM(K1160:K1161)</f>
        <v>1.3230314593270818</v>
      </c>
      <c r="L1159" s="1">
        <f t="shared" si="1312"/>
        <v>1.0036111716463232</v>
      </c>
      <c r="N1159" s="1"/>
    </row>
    <row r="1160" spans="2:14" x14ac:dyDescent="0.35">
      <c r="B1160" s="5" t="str">
        <f t="shared" si="1307"/>
        <v>SPS1</v>
      </c>
      <c r="C1160" s="5" t="str">
        <f t="shared" si="129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4.2889692284420864</v>
      </c>
      <c r="G1160" s="1">
        <f>[1]Transport!C$25/SUM([1]Transport!C$21,[1]Transport!C$25)*G1157*(G$35+G$600)/(G$35+G$600+G$39)</f>
        <v>3.9819887027737462</v>
      </c>
      <c r="H1160" s="1">
        <f>[1]Transport!D$25/SUM([1]Transport!D$21,[1]Transport!D$25)*H1157*(H$35+H$600)/(H$35+H$600+H$39)</f>
        <v>3.871312230914453</v>
      </c>
      <c r="I1160" s="1">
        <f>[1]Transport!E$25/SUM([1]Transport!E$21,[1]Transport!E$25)*I1157*(I$35+I$600)/(I$35+I$600+I$39)</f>
        <v>2.2746332031010361</v>
      </c>
      <c r="J1160" s="1">
        <f>[2]Transport!F$25/SUM([2]Transport!F$21,[2]Transport!F$25)*J1157*(J$35+J$600)/(J$35+J$600+J$39)</f>
        <v>1.3693259447530899</v>
      </c>
      <c r="K1160" s="1">
        <f>[2]Transport!G$25/SUM([2]Transport!G$21,[2]Transport!G$25)*K1157*(K$35+K$600)/(K$35+K$600+K$39)</f>
        <v>1.3230314593270818</v>
      </c>
      <c r="L1160" s="1">
        <f>[2]Transport!H$25/SUM([2]Transport!H$21,[2]Transport!H$25)*L1157*(L$35+L$600)/(L$35+L$600+L$39)</f>
        <v>1.0036111716463232</v>
      </c>
      <c r="N1160" s="1"/>
    </row>
    <row r="1161" spans="2:14" x14ac:dyDescent="0.35">
      <c r="B1161" s="5" t="str">
        <f t="shared" si="1307"/>
        <v>SPS1</v>
      </c>
      <c r="C1161" s="5" t="str">
        <f t="shared" si="129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(L$39+L$719)/([2]Transport!H$21+[2]Transport!H$25)*L1157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1.2540572176050819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1.2428792058405518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0.92518436169114793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0.43896555657222525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8"/>
        <v>SPS1</v>
      </c>
      <c r="C1163" s="5" t="str">
        <f t="shared" si="129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4.6457602887153629E-2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5.337415439577594E-2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3.721094244327338E-2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2.8768816133097477E-2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1.1730034771410658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1.7942947129809594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1.6842841427401001</v>
      </c>
      <c r="N1163" s="1"/>
    </row>
    <row r="1164" spans="2:14" x14ac:dyDescent="0.35">
      <c r="B1164" s="5" t="str">
        <f t="shared" si="1298"/>
        <v>SPS1</v>
      </c>
      <c r="C1164" s="5" t="str">
        <f t="shared" si="129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0.13645882422107061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0.20504931456361494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0.74355762633183964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0.64371817330538417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0.41899319014714465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6.4224866979773795E-2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9.3354666853770699E-3</v>
      </c>
      <c r="N1164" s="1"/>
    </row>
    <row r="1165" spans="2:14" x14ac:dyDescent="0.35">
      <c r="B1165" s="5" t="str">
        <f t="shared" si="1298"/>
        <v>SPS1</v>
      </c>
      <c r="C1165" s="5" t="str">
        <f t="shared" si="129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0.10189929652311322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1.2390935637263356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1.1718013449375044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0.93709773276537323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0.30134313235562837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2.1502925749719942E-4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1.1885057658065308E-4</v>
      </c>
      <c r="N1165" s="1"/>
    </row>
    <row r="1166" spans="2:14" x14ac:dyDescent="0.35">
      <c r="B1166" s="5" t="str">
        <f t="shared" si="1298"/>
        <v>SPS1</v>
      </c>
      <c r="C1166" s="5" t="str">
        <f t="shared" si="129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9.0752397354446956E-2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0.13513881224056962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0.12748547794457218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0.10767943777409372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1.5698988818486713E-2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2.8954123930013969E-4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3.4969735163573859E-4</v>
      </c>
      <c r="N1166" s="1"/>
    </row>
    <row r="1167" spans="2:14" x14ac:dyDescent="0.35">
      <c r="B1167" s="5" t="str">
        <f t="shared" si="1298"/>
        <v>SPS1</v>
      </c>
      <c r="C1167" s="5" t="str">
        <f t="shared" si="129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63.987645228615996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51.666576415714154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41.931846772595065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11.92298118021338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8"/>
        <v>SPS1</v>
      </c>
      <c r="C1168" s="5" t="str">
        <f t="shared" si="129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0.49519684636195571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0.55053886190529056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1.3776724447970712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2.2155796213984935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1.4977354002596359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0.50971513451277162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8.5659345095289287E-5</v>
      </c>
      <c r="N1168" s="1"/>
    </row>
    <row r="1169" spans="2:18" x14ac:dyDescent="0.35">
      <c r="B1169" s="5" t="str">
        <f t="shared" si="1298"/>
        <v>SPS1</v>
      </c>
      <c r="C1169" s="5" t="str">
        <f t="shared" si="129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3.8850496028726145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5.3067602899405211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6.9288037608806778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5.5923315272388674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0.75296479570675845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8.0637891583440133E-2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1.7934714588575099E-4</v>
      </c>
      <c r="N1169" s="1"/>
    </row>
    <row r="1170" spans="2:18" x14ac:dyDescent="0.35">
      <c r="B1170" s="5" t="str">
        <f t="shared" si="1298"/>
        <v>SPS1</v>
      </c>
      <c r="C1170" s="5" t="str">
        <f t="shared" si="129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4.1170474334444584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5.7400776743374511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6.8154557656796779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5.5748919093266105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1.1367380794664026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0.11935507019736555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2.3659452828948363E-4</v>
      </c>
      <c r="N1170" s="1"/>
    </row>
    <row r="1171" spans="2:18" x14ac:dyDescent="0.35">
      <c r="B1171" s="5" t="str">
        <f t="shared" si="1298"/>
        <v>SPS1</v>
      </c>
      <c r="C1171" s="5" t="str">
        <f t="shared" si="129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3.8863903601131979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5.2543697508011382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8.5062612225570771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7.0300104110690667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12.384727375290529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17.259934293156395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14.155968513207661</v>
      </c>
      <c r="N1171" s="1"/>
    </row>
    <row r="1172" spans="2:18" x14ac:dyDescent="0.35">
      <c r="B1172" s="5" t="str">
        <f t="shared" si="1298"/>
        <v>SPS1</v>
      </c>
      <c r="C1172" s="5" t="str">
        <f t="shared" si="129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1.3385334503272992E-4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4.7325013681256625E-4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0.30189226084943216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0.24716417134389576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0.12259437113941464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9.9429183203536691E-5</v>
      </c>
      <c r="N1172" s="1"/>
    </row>
    <row r="1173" spans="2:18" x14ac:dyDescent="0.35">
      <c r="B1173" s="5" t="str">
        <f t="shared" si="1298"/>
        <v>SPS1</v>
      </c>
      <c r="C1173" s="5" t="str">
        <f t="shared" si="129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9.4251056430945545E-5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4.1799651423540547E-4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6.93867482800147E-4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5.3824943628748918E-4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4.2779570714001621E-4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1.4106719871802525E-4</v>
      </c>
      <c r="N1173" s="1"/>
    </row>
    <row r="1174" spans="2:18" x14ac:dyDescent="0.35">
      <c r="B1174" s="5" t="str">
        <f t="shared" si="1298"/>
        <v>SPS1</v>
      </c>
      <c r="C1174" s="5" t="str">
        <f t="shared" si="129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1.2040164578724127E-4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4.6144208189127014E-4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7.1622069523069349E-4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5.3337830700640721E-4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4.5372724202702756E-4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1.5917617459952079E-4</v>
      </c>
      <c r="N1174" s="1"/>
    </row>
    <row r="1175" spans="2:18" x14ac:dyDescent="0.35">
      <c r="B1175" s="5" t="str">
        <f t="shared" si="1298"/>
        <v>SPS1</v>
      </c>
      <c r="C1175" s="5" t="str">
        <f t="shared" si="129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1.4605192922223105E-4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6.5238712657888175E-4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1.102497445170409E-3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7.814375040977356E-2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0.29289181798630692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0.44022498923060671</v>
      </c>
      <c r="N1175" s="1"/>
    </row>
    <row r="1176" spans="2:18" x14ac:dyDescent="0.35">
      <c r="B1176" s="5" t="str">
        <f t="shared" si="1298"/>
        <v>SPS1</v>
      </c>
      <c r="C1176" s="5" t="str">
        <f t="shared" si="129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2.975536572250612E-4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6.1135297841069026E-4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5.9557727707001691E-4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5.7786488246151931E-4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1.9485487548593183E-4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1.4154801755231046E-4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6.2447548521329059E-5</v>
      </c>
      <c r="N1176" s="1"/>
    </row>
    <row r="1177" spans="2:18" x14ac:dyDescent="0.35">
      <c r="B1177" s="5" t="str">
        <f t="shared" si="1298"/>
        <v>SPS1</v>
      </c>
      <c r="C1177" s="5" t="str">
        <f t="shared" si="129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7.5627325526141903E-2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0.14782583683370604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0.13870903308323393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0.10169726492084229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1.0645151126015519E-2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6.9034505456788166E-4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2.8368909775973965E-4</v>
      </c>
      <c r="N1177" s="1"/>
    </row>
    <row r="1178" spans="2:18" x14ac:dyDescent="0.35">
      <c r="B1178" s="5" t="str">
        <f t="shared" si="1298"/>
        <v>SPS1</v>
      </c>
      <c r="C1178" s="5" t="str">
        <f t="shared" si="129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9.9131136151605112E-2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0.9395625094887563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1.773069180731268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6.4680193227871108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6.0064362090078749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3.9219030897181497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2.0417216177090278</v>
      </c>
      <c r="N1178" s="1"/>
    </row>
    <row r="1179" spans="2:18" x14ac:dyDescent="0.35">
      <c r="B1179" s="5" t="str">
        <f t="shared" si="1298"/>
        <v>SPS1</v>
      </c>
      <c r="C1179" s="5" t="str">
        <f t="shared" si="129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0.17504994288453174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0.26061313516300372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0.24170735023294365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0.1715017920709207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2.1184466208961302E-2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8.1812703492898156E-4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2.9012574040037444E-4</v>
      </c>
      <c r="N1179" s="1"/>
    </row>
    <row r="1180" spans="2:18" x14ac:dyDescent="0.35">
      <c r="B1180" s="5" t="str">
        <f t="shared" si="1298"/>
        <v>SPS1</v>
      </c>
      <c r="C1180" s="5" t="str">
        <f t="shared" si="1299"/>
        <v>CH</v>
      </c>
      <c r="D1180" t="s">
        <v>1280</v>
      </c>
      <c r="E1180" t="s">
        <v>8</v>
      </c>
      <c r="F1180" s="1">
        <f>SUM(F1185:F1202)</f>
        <v>59.793059513582662</v>
      </c>
      <c r="G1180" s="1">
        <f t="shared" ref="G1180:K1180" si="1313">SUM(G1185:G1202)</f>
        <v>58.658686326304327</v>
      </c>
      <c r="H1180" s="1">
        <f t="shared" si="1313"/>
        <v>46.09562306336548</v>
      </c>
      <c r="I1180" s="1">
        <f t="shared" si="1313"/>
        <v>28.518252824767934</v>
      </c>
      <c r="J1180" s="1">
        <f t="shared" si="1313"/>
        <v>11.973462225872895</v>
      </c>
      <c r="K1180" s="1">
        <f t="shared" si="1313"/>
        <v>9.9771535173560437</v>
      </c>
      <c r="L1180" s="1">
        <f t="shared" ref="L1180" si="1314">SUM(L1185:L1202)</f>
        <v>5.8246969022940354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58.297181263195768</v>
      </c>
      <c r="G1181" s="1">
        <f t="shared" ref="G1181:L1181" si="1315">IF(G1180-G1182&lt;0,0,G1180-G1182)</f>
        <v>57.129998745852646</v>
      </c>
      <c r="H1181" s="1">
        <f t="shared" si="1315"/>
        <v>44.026931165934855</v>
      </c>
      <c r="I1181" s="1">
        <f t="shared" si="1315"/>
        <v>27.24455841459292</v>
      </c>
      <c r="J1181" s="1">
        <f t="shared" si="1315"/>
        <v>11.491487249693103</v>
      </c>
      <c r="K1181" s="1">
        <f t="shared" si="1315"/>
        <v>9.574803234113892</v>
      </c>
      <c r="L1181" s="1">
        <f t="shared" si="1315"/>
        <v>5.5610388245470501</v>
      </c>
      <c r="N1181" s="1"/>
    </row>
    <row r="1182" spans="2:18" x14ac:dyDescent="0.35">
      <c r="B1182" s="5" t="str">
        <f t="shared" ref="B1182:B1184" si="1316">B1181</f>
        <v>SPS1</v>
      </c>
      <c r="C1182" s="5" t="str">
        <f t="shared" ref="C1182:C1184" si="1317">C1181</f>
        <v>CH</v>
      </c>
      <c r="D1182" t="s">
        <v>1282</v>
      </c>
      <c r="E1182" t="str">
        <f t="shared" ref="E1182:E1184" si="1318">E1181</f>
        <v>PJ/yr.</v>
      </c>
      <c r="F1182" s="1">
        <f>SUM(F1183:F1184)</f>
        <v>1.495878250386897</v>
      </c>
      <c r="G1182" s="1">
        <f t="shared" ref="G1182" si="1319">SUM(G1183:G1184)</f>
        <v>1.528687580451682</v>
      </c>
      <c r="H1182" s="1">
        <f t="shared" ref="H1182" si="1320">SUM(H1183:H1184)</f>
        <v>2.0686918974306274</v>
      </c>
      <c r="I1182" s="1">
        <f t="shared" ref="I1182" si="1321">SUM(I1183:I1184)</f>
        <v>1.2736944101750152</v>
      </c>
      <c r="J1182" s="1">
        <f t="shared" ref="J1182" si="1322">SUM(J1183:J1184)</f>
        <v>0.48197497617979218</v>
      </c>
      <c r="K1182" s="1">
        <f t="shared" ref="K1182:L1182" si="1323">SUM(K1183:K1184)</f>
        <v>0.40235028324215205</v>
      </c>
      <c r="L1182" s="1">
        <f t="shared" si="1323"/>
        <v>0.26365807774698491</v>
      </c>
      <c r="N1182" s="1"/>
    </row>
    <row r="1183" spans="2:18" x14ac:dyDescent="0.35">
      <c r="B1183" s="5" t="str">
        <f t="shared" si="1316"/>
        <v>SPS1</v>
      </c>
      <c r="C1183" s="5" t="str">
        <f t="shared" si="1317"/>
        <v>CH</v>
      </c>
      <c r="D1183" t="s">
        <v>1283</v>
      </c>
      <c r="E1183" t="str">
        <f t="shared" si="1318"/>
        <v>PJ/yr.</v>
      </c>
      <c r="F1183" s="1">
        <f>[1]Transport!B$26/SUM([1]Transport!B$22,[1]Transport!B$26)*F1180*(F$34+F$582)/(F$34+F$582+F$38)</f>
        <v>1.495878250386897</v>
      </c>
      <c r="G1183" s="1">
        <f>[1]Transport!C$26/SUM([1]Transport!C$22,[1]Transport!C$26)*G1180*(G$34+G$582)/(G$34+G$582+G$38)</f>
        <v>1.528687580451682</v>
      </c>
      <c r="H1183" s="1">
        <f>[1]Transport!D$26/SUM([1]Transport!D$22,[1]Transport!D$26)*H1180*(H$34+H$582)/(H$34+H$582+H$38)</f>
        <v>2.0686918974306274</v>
      </c>
      <c r="I1183" s="1">
        <f>[1]Transport!E$26/SUM([1]Transport!E$22,[1]Transport!E$26)*I1180*(I$34+I$582)/(I$34+I$582+I$38)</f>
        <v>1.2736944101750152</v>
      </c>
      <c r="J1183" s="1">
        <f>[2]Transport!F$26/SUM([2]Transport!F$22,[2]Transport!F$26)*J1180*(J$34+J$582)/(J$34+J$582+J$38)</f>
        <v>0.48197497617979218</v>
      </c>
      <c r="K1183" s="1">
        <f>[2]Transport!G$26/SUM([2]Transport!G$22,[2]Transport!G$26)*K1180*(K$34+K$582)/(K$34+K$582+K$38)</f>
        <v>0.40235028324215205</v>
      </c>
      <c r="L1183" s="1">
        <f>[2]Transport!H$26/SUM([2]Transport!H$22,[2]Transport!H$26)*L1180*(L$34+L$582)/(L$34+L$582+L$38)</f>
        <v>0.26365807774698491</v>
      </c>
      <c r="N1183" s="1"/>
    </row>
    <row r="1184" spans="2:18" x14ac:dyDescent="0.35">
      <c r="B1184" s="5" t="str">
        <f t="shared" si="1316"/>
        <v>SPS1</v>
      </c>
      <c r="C1184" s="5" t="str">
        <f t="shared" si="1317"/>
        <v>CH</v>
      </c>
      <c r="D1184" t="s">
        <v>1284</v>
      </c>
      <c r="E1184" t="str">
        <f t="shared" si="1318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8"/>
        <v>SPS1</v>
      </c>
      <c r="C1186" s="5" t="str">
        <f t="shared" si="129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3.0929552862976809E-5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0.18333449905606444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0.12170567045696891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9.7870380571043081E-2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4.6080266554305922E-2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0.22901975365023167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0.11946567740071293</v>
      </c>
      <c r="N1186" s="1"/>
      <c r="R1186" s="1"/>
    </row>
    <row r="1187" spans="2:18" x14ac:dyDescent="0.35">
      <c r="B1187" s="5" t="str">
        <f t="shared" si="1298"/>
        <v>SPS1</v>
      </c>
      <c r="C1187" s="5" t="str">
        <f t="shared" si="129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2.8746692986811387E-3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0.67615869193605072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1.1972181201308298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1.0040259590726024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1.9504682334303496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1.268375722089792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1.384662107767247</v>
      </c>
      <c r="N1187" s="1"/>
    </row>
    <row r="1188" spans="2:18" x14ac:dyDescent="0.35">
      <c r="B1188" s="5" t="str">
        <f t="shared" si="1298"/>
        <v>SPS1</v>
      </c>
      <c r="C1188" s="5" t="str">
        <f t="shared" si="129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2.9657239780343601E-2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4.5283207006382317E-2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4.3375143477677999E-2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3.2456624041241021E-2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6.1731283112345364E-3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2.1578352298166328E-4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1.2293399092951329E-4</v>
      </c>
      <c r="N1188" s="1"/>
    </row>
    <row r="1189" spans="2:18" x14ac:dyDescent="0.35">
      <c r="B1189" s="5" t="str">
        <f t="shared" si="1298"/>
        <v>SPS1</v>
      </c>
      <c r="C1189" s="5" t="str">
        <f t="shared" si="129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3.5440823987558025E-2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7.0832701438576673E-2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6.7220145702779413E-2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5.5069068944955432E-2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1.2410765988032146E-2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2.9749346220491249E-4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3.7628699684766939E-4</v>
      </c>
      <c r="N1189" s="1"/>
    </row>
    <row r="1190" spans="2:18" x14ac:dyDescent="0.35">
      <c r="B1190" s="5" t="str">
        <f t="shared" si="1298"/>
        <v>SPS1</v>
      </c>
      <c r="C1190" s="5" t="str">
        <f t="shared" si="129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52.132005810783085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48.700921509994856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34.624523702328709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16.031906018871542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8"/>
        <v>SPS1</v>
      </c>
      <c r="C1191" s="5" t="str">
        <f t="shared" si="129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5.293848097558649E-3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5.91176276021739E-3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4.3316437254801009E-3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3.1344714311717725E-3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2.8539093746178653E-4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1.435128984810301E-4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4.9203608272835959E-5</v>
      </c>
      <c r="N1191" s="1"/>
    </row>
    <row r="1192" spans="2:18" x14ac:dyDescent="0.35">
      <c r="B1192" s="5" t="str">
        <f t="shared" si="1298"/>
        <v>SPS1</v>
      </c>
      <c r="C1192" s="5" t="str">
        <f t="shared" si="129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1.0630798243775721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1.2830898291139603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1.1112470512017041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0.8285681487534402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2.0453667729699847E-2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2.0909210603871746E-4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7.8904659988293904E-5</v>
      </c>
      <c r="N1192" s="1"/>
    </row>
    <row r="1193" spans="2:18" x14ac:dyDescent="0.35">
      <c r="B1193" s="5" t="str">
        <f t="shared" si="1298"/>
        <v>SPS1</v>
      </c>
      <c r="C1193" s="5" t="str">
        <f t="shared" si="129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4.5799350700564352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5.3267679617886037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5.2758124681107184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4.0289977804591244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0.13820523650531552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2.3230760266341744E-4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9.6664105242321051E-5</v>
      </c>
      <c r="N1193" s="1"/>
    </row>
    <row r="1194" spans="2:18" x14ac:dyDescent="0.35">
      <c r="B1194" s="5" t="str">
        <f t="shared" si="1298"/>
        <v>SPS1</v>
      </c>
      <c r="C1194" s="5" t="str">
        <f t="shared" si="129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1.9387389554757966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2.2108012188673865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2.1735312935968327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1.6064082821452221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7.6891262519116876E-2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1.3597141132479232E-4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6.4780287634115473E-5</v>
      </c>
      <c r="N1194" s="1"/>
    </row>
    <row r="1195" spans="2:18" x14ac:dyDescent="0.35">
      <c r="B1195" s="5" t="str">
        <f t="shared" si="1298"/>
        <v>SPS1</v>
      </c>
      <c r="C1195" s="5" t="str">
        <f t="shared" si="129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1.1696453473765657E-4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3.7163928815352019E-4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0.19975729641608381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0.20265507006213646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0.11544830106842739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1.0218347458763681E-2</v>
      </c>
      <c r="N1195" s="1"/>
    </row>
    <row r="1196" spans="2:18" x14ac:dyDescent="0.35">
      <c r="B1196" s="5" t="str">
        <f t="shared" si="1298"/>
        <v>SPS1</v>
      </c>
      <c r="C1196" s="5" t="str">
        <f t="shared" si="129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8.3283407721956019E-5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3.4527997226365932E-4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6.3351458559592327E-4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7.7372744720406413E-4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9.3095885253350827E-4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3.6077120273506725E-4</v>
      </c>
      <c r="N1196" s="1"/>
    </row>
    <row r="1197" spans="2:18" x14ac:dyDescent="0.35">
      <c r="B1197" s="5" t="str">
        <f t="shared" si="1298"/>
        <v>SPS1</v>
      </c>
      <c r="C1197" s="5" t="str">
        <f t="shared" si="129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1.0264839803269312E-4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3.6410590104244084E-4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5.9312853688157539E-4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9.8347062616600247E-4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0.15358769618792101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0.28980211792462568</v>
      </c>
      <c r="N1197" s="1"/>
    </row>
    <row r="1198" spans="2:18" x14ac:dyDescent="0.35">
      <c r="B1198" s="5" t="str">
        <f t="shared" si="1298"/>
        <v>SPS1</v>
      </c>
      <c r="C1198" s="5" t="str">
        <f t="shared" si="129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7.7069306841466383E-5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2.1569951089895367E-4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3.1788748077413729E-4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2.297450929064979E-4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2.7491283829293934E-4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1.7276433733336757E-4</v>
      </c>
      <c r="N1198" s="1"/>
    </row>
    <row r="1199" spans="2:18" x14ac:dyDescent="0.35">
      <c r="B1199" s="5" t="str">
        <f t="shared" si="1298"/>
        <v>SPS1</v>
      </c>
      <c r="C1199" s="5" t="str">
        <f t="shared" si="129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1.6977688805940945E-5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3.7573611496323614E-4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4.2414444929421121E-4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4.7035917277114467E-4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1.9606168131998877E-4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1.3963780773842003E-4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6.2155125686185855E-5</v>
      </c>
      <c r="N1199" s="1"/>
    </row>
    <row r="1200" spans="2:18" x14ac:dyDescent="0.35">
      <c r="B1200" s="5" t="str">
        <f t="shared" si="1298"/>
        <v>SPS1</v>
      </c>
      <c r="C1200" s="5" t="str">
        <f t="shared" si="129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5.777557443598158E-6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2.790974941574313E-4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8.7759896671657902E-4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1.2675975742402362E-3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8.4805015479785047E-4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7.5465850129423405E-4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2.9524155976431288E-4</v>
      </c>
      <c r="N1200" s="1"/>
    </row>
    <row r="1201" spans="2:14" x14ac:dyDescent="0.35">
      <c r="B1201" s="5" t="str">
        <f t="shared" si="1298"/>
        <v>SPS1</v>
      </c>
      <c r="C1201" s="5" t="str">
        <f t="shared" si="129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9.6328593878499644E-5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0.13914231608749211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1.4569649068235202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4.6148272584640999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9.5141574068041539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8.2065202349179902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4.0185723040561445</v>
      </c>
      <c r="N1201" s="1"/>
    </row>
    <row r="1202" spans="2:14" x14ac:dyDescent="0.35">
      <c r="B1202" s="5" t="str">
        <f t="shared" si="1298"/>
        <v>SPS1</v>
      </c>
      <c r="C1202" s="5" t="str">
        <f t="shared" si="129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5.8832583326389421E-3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1.5407828998278613E-2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1.7094449721888175E-2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1.1949048247146982E-2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2.650742028694017E-3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8.6748043812854994E-4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2.9664181210818359E-4</v>
      </c>
      <c r="N1202" s="1"/>
    </row>
    <row r="1203" spans="2:14" x14ac:dyDescent="0.35">
      <c r="B1203" s="5" t="str">
        <f t="shared" si="1298"/>
        <v>SPS1</v>
      </c>
      <c r="C1203" s="5" t="str">
        <f t="shared" si="1299"/>
        <v>CH</v>
      </c>
      <c r="D1203" t="s">
        <v>1303</v>
      </c>
      <c r="E1203" t="s">
        <v>8</v>
      </c>
      <c r="F1203" s="1">
        <f>SUM(F1208:F1212)</f>
        <v>0.1127253744202799</v>
      </c>
      <c r="G1203" s="1">
        <f t="shared" ref="G1203:K1203" si="1324">SUM(G1208:G1212)</f>
        <v>9.707294095312681E-2</v>
      </c>
      <c r="H1203" s="1">
        <f t="shared" si="1324"/>
        <v>9.413326903943578E-2</v>
      </c>
      <c r="I1203" s="1">
        <f t="shared" si="1324"/>
        <v>1.0535433755563632E-3</v>
      </c>
      <c r="J1203" s="1">
        <f t="shared" si="1324"/>
        <v>3.9883120301248783E-4</v>
      </c>
      <c r="K1203" s="1">
        <f t="shared" si="1324"/>
        <v>3.723451691506979E-4</v>
      </c>
      <c r="L1203" s="1">
        <f t="shared" ref="L1203" si="1325">SUM(L1208:L1212)</f>
        <v>2.2520723976644325E-4</v>
      </c>
      <c r="N1203" s="1"/>
    </row>
    <row r="1204" spans="2:14" x14ac:dyDescent="0.35">
      <c r="B1204" s="5" t="str">
        <f t="shared" si="1298"/>
        <v>SPS1</v>
      </c>
      <c r="C1204" s="5" t="str">
        <f t="shared" si="1299"/>
        <v>CH</v>
      </c>
      <c r="D1204" t="s">
        <v>1335</v>
      </c>
      <c r="E1204" t="s">
        <v>8</v>
      </c>
      <c r="F1204" s="1">
        <f>IF(F1203-F1205&lt;0,0,F1203-F1205)</f>
        <v>0.10428932748279873</v>
      </c>
      <c r="G1204" s="1">
        <f t="shared" ref="G1204:L1204" si="1326">IF(G1203-G1205&lt;0,0,G1203-G1205)</f>
        <v>8.7543303311692619E-2</v>
      </c>
      <c r="H1204" s="1">
        <f t="shared" si="1326"/>
        <v>8.5493970537865546E-2</v>
      </c>
      <c r="I1204" s="1">
        <f t="shared" si="1326"/>
        <v>1.0123554146002065E-3</v>
      </c>
      <c r="J1204" s="1">
        <f t="shared" si="1326"/>
        <v>0</v>
      </c>
      <c r="K1204" s="1">
        <f t="shared" si="1326"/>
        <v>0</v>
      </c>
      <c r="L1204" s="1">
        <f t="shared" si="1326"/>
        <v>0</v>
      </c>
      <c r="N1204" s="1"/>
    </row>
    <row r="1205" spans="2:14" x14ac:dyDescent="0.35">
      <c r="B1205" s="5" t="str">
        <f t="shared" si="1298"/>
        <v>SPS1</v>
      </c>
      <c r="C1205" s="5" t="str">
        <f t="shared" si="1299"/>
        <v>CH</v>
      </c>
      <c r="D1205" t="s">
        <v>1336</v>
      </c>
      <c r="E1205" t="s">
        <v>8</v>
      </c>
      <c r="F1205" s="1">
        <f>SUM(F1206:F1207)</f>
        <v>8.4360469374811595E-3</v>
      </c>
      <c r="G1205" s="1">
        <f t="shared" ref="G1205" si="1327">SUM(G1206:G1207)</f>
        <v>9.5296376414341893E-3</v>
      </c>
      <c r="H1205" s="1">
        <f t="shared" ref="H1205" si="1328">SUM(H1206:H1207)</f>
        <v>8.6392985015702368E-3</v>
      </c>
      <c r="I1205" s="1">
        <f t="shared" ref="I1205" si="1329">SUM(I1206:I1207)</f>
        <v>4.1187960956156747E-5</v>
      </c>
      <c r="J1205" s="1">
        <f t="shared" ref="J1205" si="1330">SUM(J1206:J1207)</f>
        <v>1.0696366234836225</v>
      </c>
      <c r="K1205" s="1">
        <f t="shared" ref="K1205:L1205" si="1331">SUM(K1206:K1207)</f>
        <v>3.8814790887264604E-2</v>
      </c>
      <c r="L1205" s="1">
        <f t="shared" si="1331"/>
        <v>5.8699730088206177E-2</v>
      </c>
      <c r="N1205" s="1"/>
    </row>
    <row r="1206" spans="2:14" x14ac:dyDescent="0.35">
      <c r="B1206" s="5" t="str">
        <f t="shared" si="1298"/>
        <v>SPS1</v>
      </c>
      <c r="C1206" s="5" t="str">
        <f t="shared" si="1299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8.4360469374811595E-3</v>
      </c>
      <c r="G1206" s="1">
        <f>[1]Transport!C$27/SUM([1]Transport!C$24,[1]Transport!C$27)*G1203*(G$47+G$614)/(G$47+G$614+G$49)</f>
        <v>9.5296376414341893E-3</v>
      </c>
      <c r="H1206" s="1">
        <f>[1]Transport!D$27/SUM([1]Transport!D$24,[1]Transport!D$27)*H1203*(H$47+H$614)/(H$47+H$614+H$49)</f>
        <v>8.6392985015702368E-3</v>
      </c>
      <c r="I1206" s="1">
        <f>[1]Transport!E$27/SUM([1]Transport!E$24,[1]Transport!E$27)*I1203*(I$47+I$614)/(I$47+I$614+I$49)</f>
        <v>4.1187960956156747E-5</v>
      </c>
      <c r="J1206" s="1">
        <f>[2]Transport!F$27/SUM([2]Transport!F$24,[2]Transport!F$27)*J1203*(J$47+J$614)/(J$47+J$614+J$49)</f>
        <v>2.0843847924836722E-5</v>
      </c>
      <c r="K1206" s="1">
        <f>[2]Transport!G$27/SUM([2]Transport!G$24,[2]Transport!G$27)*K1203*(K$47+K$614)/(K$47+K$614+K$49)</f>
        <v>5.1149193159785304E-6</v>
      </c>
      <c r="L1206" s="1">
        <f>[2]Transport!H$27/SUM([2]Transport!H$24,[2]Transport!H$27)*L1203*(L$47+L$614)/(L$47+L$614+L$49)</f>
        <v>5.4829062126350889E-6</v>
      </c>
      <c r="N1206" s="1"/>
    </row>
    <row r="1207" spans="2:14" x14ac:dyDescent="0.35">
      <c r="B1207" s="5" t="str">
        <f t="shared" si="1298"/>
        <v>SPS1</v>
      </c>
      <c r="C1207" s="5" t="str">
        <f t="shared" si="1299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1.0696157796356978</v>
      </c>
      <c r="K1207" s="1">
        <f>(K$49+K$716)/([2]Transport!G$24+[2]Transport!G$27)*K1203</f>
        <v>3.8809675967948626E-2</v>
      </c>
      <c r="L1207" s="1">
        <f>(L$49+L$716)/([2]Transport!H$24+[2]Transport!H$27)*L1203</f>
        <v>5.8694247181993543E-2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8"/>
        <v>SPS1</v>
      </c>
      <c r="C1209" s="5" t="str">
        <f t="shared" si="129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3.7371826121657707E-3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2.1045611924555181E-3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1.605376901726759E-3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1.3555284931257916E-4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3.8360980820978647E-5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2.2110219761089585E-5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1.0526001696995906E-5</v>
      </c>
      <c r="N1209" s="1"/>
    </row>
    <row r="1210" spans="2:14" x14ac:dyDescent="0.35">
      <c r="B1210" s="5" t="str">
        <f t="shared" si="1298"/>
        <v>SPS1</v>
      </c>
      <c r="C1210" s="5" t="str">
        <f t="shared" si="129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5.6063935856071515E-2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4.4088188060146236E-2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4.3790193816472624E-2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2.2105038052817118E-4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5.9561224211761558E-5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6.1752797026109514E-5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3.1317149691072314E-5</v>
      </c>
      <c r="N1210" s="1"/>
    </row>
    <row r="1211" spans="2:14" x14ac:dyDescent="0.35">
      <c r="B1211" s="5" t="str">
        <f t="shared" si="1298"/>
        <v>SPS1</v>
      </c>
      <c r="C1211" s="5" t="str">
        <f t="shared" si="129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4.4947243502587962E-3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3.7327277257738151E-3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4.8380559469938357E-3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5.5051450551154516E-4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1.7605623954160496E-4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1.3764702238372583E-4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7.2959764015439216E-5</v>
      </c>
      <c r="N1211" s="1"/>
    </row>
    <row r="1212" spans="2:14" x14ac:dyDescent="0.35">
      <c r="B1212" s="5" t="str">
        <f t="shared" si="1298"/>
        <v>SPS1</v>
      </c>
      <c r="C1212" s="5" t="str">
        <f t="shared" si="129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4.8429531601783815E-2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4.7147463974751246E-2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4.3899642374242549E-2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1.4642564020406768E-4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1.248527584381427E-4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1.5083512997977297E-4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1.104043243629358E-4</v>
      </c>
      <c r="N1212" s="1"/>
    </row>
    <row r="1213" spans="2:14" x14ac:dyDescent="0.35">
      <c r="B1213" s="5" t="str">
        <f t="shared" si="1298"/>
        <v>SPS1</v>
      </c>
      <c r="C1213" s="5" t="str">
        <f t="shared" si="1299"/>
        <v>CH</v>
      </c>
      <c r="D1213" s="2" t="s">
        <v>1132</v>
      </c>
      <c r="E1213" s="2" t="s">
        <v>1131</v>
      </c>
      <c r="F1213" s="3">
        <f>SUM(F1214:F1263)</f>
        <v>49.003163104801743</v>
      </c>
      <c r="G1213" s="3">
        <f t="shared" ref="G1213:K1213" si="1332">SUM(G1214:G1263)</f>
        <v>55.671151993432431</v>
      </c>
      <c r="H1213" s="3">
        <f t="shared" si="1332"/>
        <v>58.440063176793011</v>
      </c>
      <c r="I1213" s="3">
        <f t="shared" si="1332"/>
        <v>62.339274464744818</v>
      </c>
      <c r="J1213" s="3">
        <f t="shared" si="1332"/>
        <v>62.613031154095331</v>
      </c>
      <c r="K1213" s="3">
        <f t="shared" si="1332"/>
        <v>62.342355845755378</v>
      </c>
      <c r="L1213" s="3">
        <f t="shared" ref="L1213" si="1333">SUM(L1214:L1263)</f>
        <v>61.14353141432855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0.41619601007826573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0.36070359628695886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0.27746404943121999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0.13873206255434314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8"/>
        <v>SPS1</v>
      </c>
      <c r="C1215" s="5" t="str">
        <f t="shared" si="1299"/>
        <v>CH</v>
      </c>
      <c r="D1215" t="s">
        <v>1134</v>
      </c>
      <c r="E1215" t="str">
        <f t="shared" ref="E1215:E1263" si="1334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1.3983342791472604E-2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2.234244388282099E-2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1.5957542115139809E-2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1.4655609060190731E-2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3.7250027733336552E-3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7.9566380258204502E-3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0.60939923149892983</v>
      </c>
      <c r="N1215" s="1"/>
    </row>
    <row r="1216" spans="2:14" x14ac:dyDescent="0.35">
      <c r="B1216" s="5" t="str">
        <f t="shared" si="1298"/>
        <v>SPS1</v>
      </c>
      <c r="C1216" s="5" t="str">
        <f t="shared" si="1299"/>
        <v>CH</v>
      </c>
      <c r="D1216" t="s">
        <v>1135</v>
      </c>
      <c r="E1216" t="str">
        <f t="shared" si="1334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9.6907940660372463E-2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0.14995594092923872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0.18647685153598598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7.6275572225201689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14.963904768217201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17.212119787933844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16.848625353298459</v>
      </c>
      <c r="N1216" s="1"/>
    </row>
    <row r="1217" spans="2:14" x14ac:dyDescent="0.35">
      <c r="B1217" s="5" t="str">
        <f t="shared" si="1298"/>
        <v>SPS1</v>
      </c>
      <c r="C1217" s="5" t="str">
        <f t="shared" si="1299"/>
        <v>CH</v>
      </c>
      <c r="D1217" t="s">
        <v>1136</v>
      </c>
      <c r="E1217" t="str">
        <f t="shared" si="1334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6.187378075806458E-2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0.15679683570742928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0.16575740885088086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0.46799427450537323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4.0463711535523261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4.6036381421516861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4.5113159383558754</v>
      </c>
      <c r="N1217" s="1"/>
    </row>
    <row r="1218" spans="2:14" x14ac:dyDescent="0.35">
      <c r="B1218" s="5" t="str">
        <f t="shared" ref="B1218:B1264" si="1335">B1217</f>
        <v>SPS1</v>
      </c>
      <c r="C1218" s="5" t="str">
        <f t="shared" ref="C1218:C1264" si="1336">C1217</f>
        <v>CH</v>
      </c>
      <c r="D1218" t="s">
        <v>1137</v>
      </c>
      <c r="E1218" t="str">
        <f t="shared" si="1334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0.19473093824349375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1.3858797367548119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4.6373070976830792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13.739947313918925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16.435230570568702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14.219479982544195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15.463938239733832</v>
      </c>
      <c r="N1218" s="1"/>
    </row>
    <row r="1219" spans="2:14" x14ac:dyDescent="0.35">
      <c r="B1219" s="5" t="str">
        <f t="shared" si="1335"/>
        <v>SPS1</v>
      </c>
      <c r="C1219" s="5" t="str">
        <f t="shared" si="1336"/>
        <v>CH</v>
      </c>
      <c r="D1219" t="s">
        <v>1138</v>
      </c>
      <c r="E1219" t="str">
        <f t="shared" si="1334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2.1177649096650012E-4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4.8542073686185416E-4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4.8506159047711979E-4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5.145833877758997E-4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1.9086631588346463E-4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1.6344049825138586E-4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1.0605729391505561E-4</v>
      </c>
      <c r="N1219" s="1"/>
    </row>
    <row r="1220" spans="2:14" x14ac:dyDescent="0.35">
      <c r="B1220" s="5" t="str">
        <f t="shared" si="1335"/>
        <v>SPS1</v>
      </c>
      <c r="C1220" s="5" t="str">
        <f t="shared" si="1336"/>
        <v>CH</v>
      </c>
      <c r="D1220" t="s">
        <v>1139</v>
      </c>
      <c r="E1220" t="str">
        <f t="shared" si="1334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4.8350139795772067E-2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9.8575763167061181E-2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9.5225852403282574E-2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7.7802635924345956E-2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9.272131728180177E-3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7.2158078749621059E-4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4.7070161004013887E-4</v>
      </c>
      <c r="N1220" s="1"/>
    </row>
    <row r="1221" spans="2:14" x14ac:dyDescent="0.35">
      <c r="B1221" s="5" t="str">
        <f t="shared" si="1335"/>
        <v>SPS1</v>
      </c>
      <c r="C1221" s="5" t="str">
        <f t="shared" si="1336"/>
        <v>CH</v>
      </c>
      <c r="D1221" t="s">
        <v>1140</v>
      </c>
      <c r="E1221" t="str">
        <f t="shared" si="1334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5.4079558753259836E-2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0.6091925509147561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1.1969037225828512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5.0037842515533333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5.4691609164527906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4.6010771914275734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4.1315638363254301</v>
      </c>
      <c r="N1221" s="1"/>
    </row>
    <row r="1222" spans="2:14" x14ac:dyDescent="0.35">
      <c r="B1222" s="5" t="str">
        <f t="shared" si="1335"/>
        <v>SPS1</v>
      </c>
      <c r="C1222" s="5" t="str">
        <f t="shared" si="1336"/>
        <v>CH</v>
      </c>
      <c r="D1222" t="s">
        <v>1141</v>
      </c>
      <c r="E1222" t="str">
        <f t="shared" si="1334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9.0983202927062856E-2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0.1589660167670956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0.15301846855894702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0.12310272724316282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1.716177060035038E-2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8.3032377962830603E-4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4.8343415065331776E-4</v>
      </c>
      <c r="N1222" s="1"/>
    </row>
    <row r="1223" spans="2:14" x14ac:dyDescent="0.35">
      <c r="B1223" s="5" t="str">
        <f t="shared" si="1335"/>
        <v>SPS1</v>
      </c>
      <c r="C1223" s="5" t="str">
        <f t="shared" si="1336"/>
        <v>CH</v>
      </c>
      <c r="D1223" t="s">
        <v>1142</v>
      </c>
      <c r="E1223" t="str">
        <f t="shared" si="1334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1.2366645228201394E-5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3.0377070242590219E-4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3.5203786734509882E-4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4.2698628437745834E-4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1.9597414697563491E-4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1.6426416813560023E-4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1.0653336460718858E-4</v>
      </c>
      <c r="N1223" s="1"/>
    </row>
    <row r="1224" spans="2:14" x14ac:dyDescent="0.35">
      <c r="B1224" s="5" t="str">
        <f t="shared" si="1335"/>
        <v>SPS1</v>
      </c>
      <c r="C1224" s="5" t="str">
        <f t="shared" si="1336"/>
        <v>CH</v>
      </c>
      <c r="D1224" t="s">
        <v>1143</v>
      </c>
      <c r="E1224" t="str">
        <f t="shared" si="1334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2.6767192409034814E-6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1.876730059248663E-4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6.083543750898012E-4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9.8174989821293076E-4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7.3442064910922129E-4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7.9838855963340345E-4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4.952439296974691E-4</v>
      </c>
      <c r="N1224" s="1"/>
    </row>
    <row r="1225" spans="2:14" x14ac:dyDescent="0.35">
      <c r="B1225" s="5" t="str">
        <f t="shared" si="1335"/>
        <v>SPS1</v>
      </c>
      <c r="C1225" s="5" t="str">
        <f t="shared" si="1336"/>
        <v>CH</v>
      </c>
      <c r="D1225" t="s">
        <v>1144</v>
      </c>
      <c r="E1225" t="str">
        <f t="shared" si="1334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5.2960831123743559E-5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9.154686130311647E-2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0.99802375199539128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3.6227753032169114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8.5192238135402967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9.3844203389655547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8.2353517259603173</v>
      </c>
      <c r="N1225" s="1"/>
    </row>
    <row r="1226" spans="2:14" x14ac:dyDescent="0.35">
      <c r="B1226" s="5" t="str">
        <f t="shared" si="1335"/>
        <v>SPS1</v>
      </c>
      <c r="C1226" s="5" t="str">
        <f t="shared" si="1336"/>
        <v>CH</v>
      </c>
      <c r="D1226" t="s">
        <v>1145</v>
      </c>
      <c r="E1226" t="str">
        <f t="shared" si="1334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3.1001483319038994E-3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9.5289019014289204E-3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9.9682694163733682E-3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8.6941906572270151E-3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2.167722351158567E-3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8.89532815009865E-4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4.9819164177396496E-4</v>
      </c>
      <c r="N1226" s="1"/>
    </row>
    <row r="1227" spans="2:14" x14ac:dyDescent="0.35">
      <c r="B1227" s="5" t="str">
        <f t="shared" si="1335"/>
        <v>SPS1</v>
      </c>
      <c r="C1227" s="5" t="str">
        <f t="shared" si="1336"/>
        <v>CH</v>
      </c>
      <c r="D1227" t="s">
        <v>1146</v>
      </c>
      <c r="E1227" t="str">
        <f t="shared" si="1334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6.4203746166894931E-6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8.4892245560427748E-6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1.6524142332366539E-6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2.4238769569531997E-6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2.7347458858551146E-6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2.160443521811842E-6</v>
      </c>
      <c r="N1227" s="1"/>
    </row>
    <row r="1228" spans="2:14" x14ac:dyDescent="0.35">
      <c r="B1228" s="5" t="str">
        <f t="shared" si="1335"/>
        <v>SPS1</v>
      </c>
      <c r="C1228" s="5" t="str">
        <f t="shared" si="1336"/>
        <v>CH</v>
      </c>
      <c r="D1228" t="s">
        <v>1147</v>
      </c>
      <c r="E1228" t="str">
        <f t="shared" si="1334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1.2891377919137469E-5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2.2365418969976199E-5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2.7316508656266413E-5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6.1456110266244802E-6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4.668380381359856E-6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4.6994847667670032E-6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4.6548663200631928E-6</v>
      </c>
      <c r="N1228" s="1"/>
    </row>
    <row r="1229" spans="2:14" x14ac:dyDescent="0.35">
      <c r="B1229" s="5" t="str">
        <f t="shared" si="1335"/>
        <v>SPS1</v>
      </c>
      <c r="C1229" s="5" t="str">
        <f t="shared" si="1336"/>
        <v>CH</v>
      </c>
      <c r="D1229" t="s">
        <v>1148</v>
      </c>
      <c r="E1229" t="str">
        <f t="shared" si="1334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3.3124026219196097E-4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1.2567239117936015E-3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1.1791125480666495E-3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1.7643110596870627E-5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5.3359194736501552E-6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4.8183777816569605E-6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5.8938714138628496E-6</v>
      </c>
      <c r="N1229" s="1"/>
    </row>
    <row r="1230" spans="2:14" x14ac:dyDescent="0.35">
      <c r="B1230" s="5" t="str">
        <f t="shared" si="1335"/>
        <v>SPS1</v>
      </c>
      <c r="C1230" s="5" t="str">
        <f t="shared" si="1336"/>
        <v>CH</v>
      </c>
      <c r="D1230" t="s">
        <v>1149</v>
      </c>
      <c r="E1230" t="str">
        <f t="shared" si="1334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4.4490081632791992E-6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7.704248554031638E-6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4.3980802425809083E-6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4.2284086649018344E-6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4.8913942930166923E-6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6.284004436412388E-6</v>
      </c>
      <c r="N1230" s="1"/>
    </row>
    <row r="1231" spans="2:14" x14ac:dyDescent="0.35">
      <c r="B1231" s="5" t="str">
        <f t="shared" si="1335"/>
        <v>SPS1</v>
      </c>
      <c r="C1231" s="5" t="str">
        <f t="shared" si="1336"/>
        <v>CH</v>
      </c>
      <c r="D1231" t="s">
        <v>1233</v>
      </c>
      <c r="E1231" t="str">
        <f t="shared" si="1334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0.61924761885841817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0.62769403035179239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0.48284215456694068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0.24142212545943434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5"/>
        <v>SPS1</v>
      </c>
      <c r="C1232" s="5" t="str">
        <f t="shared" si="1336"/>
        <v>CH</v>
      </c>
      <c r="D1232" t="s">
        <v>1150</v>
      </c>
      <c r="E1232" t="str">
        <f t="shared" si="1334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5.2613327238380019E-2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6.1834130383720529E-2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4.2992780198102792E-2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3.4491348426549565E-2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1.0853495009440293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1.693179339128722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1.7147852519581233</v>
      </c>
      <c r="N1232" s="1"/>
    </row>
    <row r="1233" spans="2:14" x14ac:dyDescent="0.35">
      <c r="B1233" s="5" t="str">
        <f t="shared" si="1335"/>
        <v>SPS1</v>
      </c>
      <c r="C1233" s="5" t="str">
        <f t="shared" si="1336"/>
        <v>CH</v>
      </c>
      <c r="D1233" t="s">
        <v>1151</v>
      </c>
      <c r="E1233" t="str">
        <f t="shared" si="1334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0.22050027715236337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0.38873392972647403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1.403036618757608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1.211285151681349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0.77938266959889857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0.10629516730170467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7.8736278650609216E-3</v>
      </c>
      <c r="N1233" s="1"/>
    </row>
    <row r="1234" spans="2:14" x14ac:dyDescent="0.35">
      <c r="B1234" s="5" t="str">
        <f t="shared" si="1335"/>
        <v>SPS1</v>
      </c>
      <c r="C1234" s="5" t="str">
        <f t="shared" si="1336"/>
        <v>CH</v>
      </c>
      <c r="D1234" t="s">
        <v>1152</v>
      </c>
      <c r="E1234" t="str">
        <f t="shared" si="1334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0.20260144370508359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3.0919359103714226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2.9209423833716532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2.3514113278351885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0.76784526366869044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1.5526729444697717E-4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8.9128440665995045E-5</v>
      </c>
      <c r="N1234" s="1"/>
    </row>
    <row r="1235" spans="2:14" x14ac:dyDescent="0.35">
      <c r="B1235" s="5" t="str">
        <f t="shared" si="1335"/>
        <v>SPS1</v>
      </c>
      <c r="C1235" s="5" t="str">
        <f t="shared" si="1336"/>
        <v>CH</v>
      </c>
      <c r="D1235" t="s">
        <v>1153</v>
      </c>
      <c r="E1235" t="str">
        <f t="shared" si="1334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0.10433499808528554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0.17912035409520852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0.1708632831318796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0.14378464470985092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2.5099905063391378E-2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2.0337153565410049E-4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2.6607191270915955E-4</v>
      </c>
      <c r="N1235" s="1"/>
    </row>
    <row r="1236" spans="2:14" x14ac:dyDescent="0.35">
      <c r="B1236" s="5" t="str">
        <f t="shared" si="1335"/>
        <v>SPS1</v>
      </c>
      <c r="C1236" s="5" t="str">
        <f t="shared" si="1336"/>
        <v>CH</v>
      </c>
      <c r="D1236" t="s">
        <v>1154</v>
      </c>
      <c r="E1236" t="str">
        <f t="shared" si="1334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18.302988001126618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15.114982010285239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12.676511638962117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3.7984844808519886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5"/>
        <v>SPS1</v>
      </c>
      <c r="C1237" s="5" t="str">
        <f t="shared" si="1336"/>
        <v>CH</v>
      </c>
      <c r="D1237" t="s">
        <v>1155</v>
      </c>
      <c r="E1237" t="str">
        <f t="shared" si="1334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0.33840088256824075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0.37223212104381259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0.85506372431041389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1.3305550939590569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0.87993843273117078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0.29668620985159594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5.8035065998993071E-5</v>
      </c>
      <c r="N1237" s="1"/>
    </row>
    <row r="1238" spans="2:14" x14ac:dyDescent="0.35">
      <c r="B1238" s="5" t="str">
        <f t="shared" si="1335"/>
        <v>SPS1</v>
      </c>
      <c r="C1238" s="5" t="str">
        <f t="shared" si="1336"/>
        <v>CH</v>
      </c>
      <c r="D1238" t="s">
        <v>1156</v>
      </c>
      <c r="E1238" t="str">
        <f t="shared" si="1334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2.3602082734823493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3.2077157552734468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4.1026955545345904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3.3250323755707143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0.42545468091051541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4.4615821510586268E-2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9.7490311047043635E-5</v>
      </c>
      <c r="N1238" s="1"/>
    </row>
    <row r="1239" spans="2:14" x14ac:dyDescent="0.35">
      <c r="B1239" s="5" t="str">
        <f t="shared" si="1335"/>
        <v>SPS1</v>
      </c>
      <c r="C1239" s="5" t="str">
        <f t="shared" si="1336"/>
        <v>CH</v>
      </c>
      <c r="D1239" t="s">
        <v>1157</v>
      </c>
      <c r="E1239" t="str">
        <f t="shared" si="1334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2.1370002796024221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2.9620380690167485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3.4777259694163307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2.8618135615378311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0.55760189304647723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5.755675656364715E-2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1.2171617988376484E-4</v>
      </c>
      <c r="N1239" s="1"/>
    </row>
    <row r="1240" spans="2:14" x14ac:dyDescent="0.35">
      <c r="B1240" s="5" t="str">
        <f t="shared" si="1335"/>
        <v>SPS1</v>
      </c>
      <c r="C1240" s="5" t="str">
        <f t="shared" si="1336"/>
        <v>CH</v>
      </c>
      <c r="D1240" t="s">
        <v>1158</v>
      </c>
      <c r="E1240" t="str">
        <f t="shared" si="1334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1.7111951513878778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2.276700540852544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3.6900128483659782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3.0755064039886815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5.7898617123891825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8.4476771261989096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7.81439394017693</v>
      </c>
      <c r="N1240" s="1"/>
    </row>
    <row r="1241" spans="2:14" x14ac:dyDescent="0.35">
      <c r="B1241" s="5" t="str">
        <f t="shared" si="1335"/>
        <v>SPS1</v>
      </c>
      <c r="C1241" s="5" t="str">
        <f t="shared" si="1336"/>
        <v>CH</v>
      </c>
      <c r="D1241" t="s">
        <v>1159</v>
      </c>
      <c r="E1241" t="str">
        <f t="shared" si="1334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6.9386398562389285E-5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2.5809482059912484E-4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0.1839735384281809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0.15064996285010199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7.4740053031523673E-2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7.3785992111471954E-5</v>
      </c>
      <c r="N1241" s="1"/>
    </row>
    <row r="1242" spans="2:14" x14ac:dyDescent="0.35">
      <c r="B1242" s="5" t="str">
        <f t="shared" si="1335"/>
        <v>SPS1</v>
      </c>
      <c r="C1242" s="5" t="str">
        <f t="shared" si="1336"/>
        <v>CH</v>
      </c>
      <c r="D1242" t="s">
        <v>1160</v>
      </c>
      <c r="E1242" t="str">
        <f t="shared" si="1334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3.9334463716021907E-5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1.8411618099195291E-4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3.2423560045197251E-4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2.7610891219099977E-4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2.3669704919488722E-4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8.7204785917689069E-5</v>
      </c>
      <c r="N1242" s="1"/>
    </row>
    <row r="1243" spans="2:14" x14ac:dyDescent="0.35">
      <c r="B1243" s="5" t="str">
        <f t="shared" si="1335"/>
        <v>SPS1</v>
      </c>
      <c r="C1243" s="5" t="str">
        <f t="shared" si="1336"/>
        <v>CH</v>
      </c>
      <c r="D1243" t="s">
        <v>1161</v>
      </c>
      <c r="E1243" t="str">
        <f t="shared" si="1334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4.6712215674556389E-5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1.8857896224862866E-4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3.0914162914918352E-4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2.5403530371917633E-4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2.3639687453490165E-4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9.4535069164890966E-5</v>
      </c>
      <c r="N1243" s="1"/>
    </row>
    <row r="1244" spans="2:14" x14ac:dyDescent="0.35">
      <c r="B1244" s="5" t="str">
        <f t="shared" si="1335"/>
        <v>SPS1</v>
      </c>
      <c r="C1244" s="5" t="str">
        <f t="shared" si="1336"/>
        <v>CH</v>
      </c>
      <c r="D1244" t="s">
        <v>1162</v>
      </c>
      <c r="E1244" t="str">
        <f t="shared" si="1334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5.7445814811570642E-5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2.7055228432098388E-4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4.8439781585755357E-4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4.0544301585037225E-2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0.16445283560892876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0.29354656860410028</v>
      </c>
      <c r="N1244" s="1"/>
    </row>
    <row r="1245" spans="2:14" x14ac:dyDescent="0.35">
      <c r="B1245" s="5" t="str">
        <f t="shared" si="1335"/>
        <v>SPS1</v>
      </c>
      <c r="C1245" s="5" t="str">
        <f t="shared" si="1336"/>
        <v>CH</v>
      </c>
      <c r="D1245" t="s">
        <v>1235</v>
      </c>
      <c r="E1245" t="str">
        <f t="shared" si="1334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5"/>
        <v>SPS1</v>
      </c>
      <c r="C1246" s="5" t="str">
        <f t="shared" si="1336"/>
        <v>CH</v>
      </c>
      <c r="D1246" t="s">
        <v>1163</v>
      </c>
      <c r="E1246" t="str">
        <f t="shared" si="1334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1.2936012577120663E-5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0.31122686497473573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0.2065401335730567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0.16596721594262168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6.8385694441755546E-2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0.22126783685427712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0.11566721115467657</v>
      </c>
      <c r="N1246" s="1"/>
    </row>
    <row r="1247" spans="2:14" x14ac:dyDescent="0.35">
      <c r="B1247" s="5" t="str">
        <f t="shared" si="1335"/>
        <v>SPS1</v>
      </c>
      <c r="C1247" s="5" t="str">
        <f t="shared" si="1336"/>
        <v>CH</v>
      </c>
      <c r="D1247" t="s">
        <v>1164</v>
      </c>
      <c r="E1247" t="str">
        <f t="shared" si="1334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3.3734445161855524E-3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1.8130757440291774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2.8026684269557243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2.3336586108335702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2.2835069119027329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1.0345747338925166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1.1882839714683751</v>
      </c>
      <c r="N1247" s="1"/>
    </row>
    <row r="1248" spans="2:14" x14ac:dyDescent="0.35">
      <c r="B1248" s="5" t="str">
        <f t="shared" si="1335"/>
        <v>SPS1</v>
      </c>
      <c r="C1248" s="5" t="str">
        <f t="shared" si="1336"/>
        <v>CH</v>
      </c>
      <c r="D1248" t="s">
        <v>1165</v>
      </c>
      <c r="E1248" t="str">
        <f t="shared" si="1334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2.658912405943176E-2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5.375373636353032E-2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5.1280457688772679E-2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4.0777102824961955E-2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9.0230977559379102E-3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1.5373674037109158E-4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9.2132476792325651E-5</v>
      </c>
      <c r="N1248" s="1"/>
    </row>
    <row r="1249" spans="2:14" x14ac:dyDescent="0.35">
      <c r="B1249" s="5" t="str">
        <f t="shared" si="1335"/>
        <v>SPS1</v>
      </c>
      <c r="C1249" s="5" t="str">
        <f t="shared" si="1336"/>
        <v>CH</v>
      </c>
      <c r="D1249" t="s">
        <v>1166</v>
      </c>
      <c r="E1249" t="str">
        <f t="shared" si="1334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4.7701686285912169E-2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0.1117251665548029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0.10661261003892841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8.9377781992343711E-2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1.9565634640249328E-2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2.0914611524856731E-4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2.8637268557439783E-4</v>
      </c>
      <c r="N1249" s="1"/>
    </row>
    <row r="1250" spans="2:14" x14ac:dyDescent="0.35">
      <c r="B1250" s="5" t="str">
        <f t="shared" si="1335"/>
        <v>SPS1</v>
      </c>
      <c r="C1250" s="5" t="str">
        <f t="shared" si="1336"/>
        <v>CH</v>
      </c>
      <c r="D1250" t="s">
        <v>1167</v>
      </c>
      <c r="E1250" t="str">
        <f t="shared" si="1334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17.673714424519488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17.235951165673395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13.02775157405412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6.6291507723532961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5"/>
        <v>SPS1</v>
      </c>
      <c r="C1251" s="5" t="str">
        <f t="shared" si="1336"/>
        <v>CH</v>
      </c>
      <c r="D1251" t="s">
        <v>1168</v>
      </c>
      <c r="E1251" t="str">
        <f t="shared" si="1334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3.9735454921882183E-3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4.5304693678477736E-3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3.3272787389763479E-3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2.4667912549687552E-3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2.1996559751385748E-4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9.4932904480565293E-5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3.4450763582225401E-5</v>
      </c>
      <c r="N1251" s="1"/>
    </row>
    <row r="1252" spans="2:14" x14ac:dyDescent="0.35">
      <c r="B1252" s="5" t="str">
        <f t="shared" si="1335"/>
        <v>SPS1</v>
      </c>
      <c r="C1252" s="5" t="str">
        <f t="shared" si="1336"/>
        <v>CH</v>
      </c>
      <c r="D1252" t="s">
        <v>1169</v>
      </c>
      <c r="E1252" t="str">
        <f t="shared" si="1334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0.77432700451008374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0.90295667263028812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0.81675132323614541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0.63219079111762722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1.6953226133201701E-2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1.1155765414845825E-4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4.4455327888985135E-5</v>
      </c>
      <c r="N1252" s="1"/>
    </row>
    <row r="1253" spans="2:14" x14ac:dyDescent="0.35">
      <c r="B1253" s="5" t="str">
        <f t="shared" si="1335"/>
        <v>SPS1</v>
      </c>
      <c r="C1253" s="5" t="str">
        <f t="shared" si="1336"/>
        <v>CH</v>
      </c>
      <c r="D1253" t="s">
        <v>1170</v>
      </c>
      <c r="E1253" t="str">
        <f t="shared" si="1334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2.467103637810756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2.836065631770448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2.806482360250329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2.1805647706465283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8.1722155343969177E-2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1.1458630373730776E-4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5.1118620692082646E-5</v>
      </c>
      <c r="N1253" s="1"/>
    </row>
    <row r="1254" spans="2:14" x14ac:dyDescent="0.35">
      <c r="B1254" s="5" t="str">
        <f t="shared" si="1335"/>
        <v>SPS1</v>
      </c>
      <c r="C1254" s="5" t="str">
        <f t="shared" si="1336"/>
        <v>CH</v>
      </c>
      <c r="D1254" t="s">
        <v>1171</v>
      </c>
      <c r="E1254" t="str">
        <f t="shared" si="1334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0.903576532906466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1.0075730143870487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0.99280047935486737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0.7495038998846375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3.0033231668969096E-2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6.3083311926527948E-5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3.2509673917340759E-5</v>
      </c>
      <c r="N1254" s="1"/>
    </row>
    <row r="1255" spans="2:14" x14ac:dyDescent="0.35">
      <c r="B1255" s="5" t="str">
        <f t="shared" si="1335"/>
        <v>SPS1</v>
      </c>
      <c r="C1255" s="5" t="str">
        <f t="shared" si="1336"/>
        <v>CH</v>
      </c>
      <c r="D1255" t="s">
        <v>1172</v>
      </c>
      <c r="E1255" t="str">
        <f t="shared" si="1334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6.5738214621217567E-5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2.1752879773949632E-4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0.12845484871755014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0.13276234017266927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7.6408346709159358E-2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7.2241604071312674E-3</v>
      </c>
      <c r="N1255" s="1"/>
    </row>
    <row r="1256" spans="2:14" x14ac:dyDescent="0.35">
      <c r="B1256" s="5" t="str">
        <f t="shared" si="1335"/>
        <v>SPS1</v>
      </c>
      <c r="C1256" s="5" t="str">
        <f t="shared" si="1336"/>
        <v>CH</v>
      </c>
      <c r="D1256" t="s">
        <v>1173</v>
      </c>
      <c r="E1256" t="str">
        <f t="shared" si="1334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3.7652550030222836E-5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1.6314989390445774E-4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3.1557388064706177E-4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4.2756494404262436E-4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5.4892334779299697E-4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2.302429090484029E-4</v>
      </c>
      <c r="N1256" s="1"/>
    </row>
    <row r="1257" spans="2:14" x14ac:dyDescent="0.35">
      <c r="B1257" s="5" t="str">
        <f t="shared" si="1335"/>
        <v>SPS1</v>
      </c>
      <c r="C1257" s="5" t="str">
        <f t="shared" si="1336"/>
        <v>CH</v>
      </c>
      <c r="D1257" t="s">
        <v>1174</v>
      </c>
      <c r="E1257" t="str">
        <f t="shared" si="1334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4.3141222320931317E-5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1.5963981075976948E-4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2.7310017349318577E-4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5.1100243437722059E-4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9.01685786106666E-2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0.19749572672350127</v>
      </c>
      <c r="N1257" s="1"/>
    </row>
    <row r="1258" spans="2:14" x14ac:dyDescent="0.35">
      <c r="B1258" s="5" t="str">
        <f t="shared" si="1335"/>
        <v>SPS1</v>
      </c>
      <c r="C1258" s="5" t="str">
        <f t="shared" si="1336"/>
        <v>CH</v>
      </c>
      <c r="D1258" t="s">
        <v>1175</v>
      </c>
      <c r="E1258" t="str">
        <f t="shared" si="1334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3.0784104534265903E-5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8.9496688343851792E-5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1.3793986259395884E-4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1.0958346679347736E-4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1.437201795522943E-4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1.0366060639168985E-4</v>
      </c>
      <c r="N1258" s="1"/>
    </row>
    <row r="1259" spans="2:14" x14ac:dyDescent="0.35">
      <c r="B1259" s="5" t="str">
        <f t="shared" si="1335"/>
        <v>SPS1</v>
      </c>
      <c r="C1259" s="5" t="str">
        <f t="shared" si="1336"/>
        <v>CH</v>
      </c>
      <c r="D1259" t="s">
        <v>1176</v>
      </c>
      <c r="E1259" t="str">
        <f t="shared" si="1334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5"/>
        <v>SPS1</v>
      </c>
      <c r="C1260" s="5" t="str">
        <f t="shared" si="1336"/>
        <v>CH</v>
      </c>
      <c r="D1260" t="s">
        <v>1177</v>
      </c>
      <c r="E1260" t="str">
        <f t="shared" si="1334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2.3003178964511335E-3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1.3814110682056518E-3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1.0480427295447266E-3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8.4836095002098621E-5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2.3848080626585177E-5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1.3941321980771659E-5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7.3203487767654551E-6</v>
      </c>
      <c r="N1260" s="1"/>
    </row>
    <row r="1261" spans="2:14" x14ac:dyDescent="0.35">
      <c r="B1261" s="5" t="str">
        <f t="shared" si="1335"/>
        <v>SPS1</v>
      </c>
      <c r="C1261" s="5" t="str">
        <f t="shared" si="1336"/>
        <v>CH</v>
      </c>
      <c r="D1261" t="s">
        <v>1178</v>
      </c>
      <c r="E1261" t="str">
        <f t="shared" si="1334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3.5405993251178311E-2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2.9829528619093496E-2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2.9578418215587193E-2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1.2286456208856046E-4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2.9115680899586241E-5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3.1092144190170356E-5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1.7221888616583877E-5</v>
      </c>
      <c r="N1261" s="1"/>
    </row>
    <row r="1262" spans="2:14" x14ac:dyDescent="0.35">
      <c r="B1262" s="5" t="str">
        <f t="shared" si="1335"/>
        <v>SPS1</v>
      </c>
      <c r="C1262" s="5" t="str">
        <f t="shared" si="1336"/>
        <v>CH</v>
      </c>
      <c r="D1262" t="s">
        <v>1179</v>
      </c>
      <c r="E1262" t="str">
        <f t="shared" si="1334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2.1030017083714255E-3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1.7745717546446367E-3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2.2824816975855725E-3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2.6620743360642179E-4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8.3637198105503097E-5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6.6351649720619024E-5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3.8709934544191103E-5</v>
      </c>
      <c r="N1262" s="1"/>
    </row>
    <row r="1263" spans="2:14" x14ac:dyDescent="0.35">
      <c r="B1263" s="5" t="str">
        <f t="shared" si="1335"/>
        <v>SPS1</v>
      </c>
      <c r="C1263" s="5" t="str">
        <f t="shared" si="1336"/>
        <v>CH</v>
      </c>
      <c r="D1263" t="s">
        <v>1180</v>
      </c>
      <c r="E1263" t="str">
        <f t="shared" si="1334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3.3062227959286178E-2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3.2175499081058843E-2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2.9950386268928517E-2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8.477973452923676E-5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5.9910148297073718E-5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7.3480406612866351E-5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6.1312628095634204E-5</v>
      </c>
      <c r="N1263" s="1"/>
    </row>
    <row r="1264" spans="2:14" x14ac:dyDescent="0.35">
      <c r="B1264" s="5" t="str">
        <f t="shared" si="1335"/>
        <v>SPS1</v>
      </c>
      <c r="C1264" s="5" t="str">
        <f t="shared" si="1336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7">IFERROR(F1214/F1138,"-")</f>
        <v>0.88951199431361472</v>
      </c>
      <c r="G1265" s="1">
        <f t="shared" si="1337"/>
        <v>0.95694536964701815</v>
      </c>
      <c r="H1265" s="1">
        <f t="shared" si="1337"/>
        <v>1.0580954326471252</v>
      </c>
      <c r="I1265" s="1">
        <f t="shared" si="1337"/>
        <v>1.2266788709806378</v>
      </c>
      <c r="J1265" s="1" t="str">
        <f t="shared" si="1337"/>
        <v>-</v>
      </c>
      <c r="K1265" s="1" t="str">
        <f t="shared" si="1337"/>
        <v>-</v>
      </c>
      <c r="L1265" s="1" t="str">
        <f t="shared" ref="L1265" si="1338">IFERROR(L1214/L1138,"-")</f>
        <v>-</v>
      </c>
      <c r="N1265" s="1"/>
    </row>
    <row r="1266" spans="2:14" x14ac:dyDescent="0.35">
      <c r="B1266" s="5" t="str">
        <f t="shared" ref="B1266:B1314" si="1339">B1265</f>
        <v>SPS1</v>
      </c>
      <c r="C1266" s="5" t="str">
        <f t="shared" ref="C1266:C1314" si="1340">C1265</f>
        <v>CH</v>
      </c>
      <c r="D1266" t="s">
        <v>1182</v>
      </c>
      <c r="E1266" t="str">
        <f t="shared" ref="E1266:E1314" si="1341">E1265</f>
        <v>km/MJ</v>
      </c>
      <c r="F1266" s="1">
        <f t="shared" si="1337"/>
        <v>1.8116719735064479</v>
      </c>
      <c r="G1266" s="1">
        <f t="shared" si="1337"/>
        <v>1.8116719735064482</v>
      </c>
      <c r="H1266" s="1">
        <f t="shared" si="1337"/>
        <v>1.8116719735064453</v>
      </c>
      <c r="I1266" s="1">
        <f t="shared" si="1337"/>
        <v>1.811671973506453</v>
      </c>
      <c r="J1266" s="1">
        <f t="shared" si="1337"/>
        <v>1.8289721606559028</v>
      </c>
      <c r="K1266" s="1">
        <f t="shared" si="1337"/>
        <v>1.9814019616102809</v>
      </c>
      <c r="L1266" s="1">
        <f t="shared" ref="L1266" si="1342">IFERROR(L1215/L1139,"-")</f>
        <v>2.2000919948503008</v>
      </c>
      <c r="N1266" s="1"/>
    </row>
    <row r="1267" spans="2:14" x14ac:dyDescent="0.35">
      <c r="B1267" s="5" t="str">
        <f t="shared" si="1339"/>
        <v>SPS1</v>
      </c>
      <c r="C1267" s="5" t="str">
        <f t="shared" si="1340"/>
        <v>CH</v>
      </c>
      <c r="D1267" t="s">
        <v>1183</v>
      </c>
      <c r="E1267" t="str">
        <f t="shared" si="1341"/>
        <v>km/MJ</v>
      </c>
      <c r="F1267" s="1">
        <f t="shared" si="1337"/>
        <v>1.4637982671179697</v>
      </c>
      <c r="G1267" s="1">
        <f t="shared" si="1337"/>
        <v>1.4637982671179728</v>
      </c>
      <c r="H1267" s="1">
        <f t="shared" si="1337"/>
        <v>1.463798267117969</v>
      </c>
      <c r="I1267" s="1">
        <f t="shared" si="1337"/>
        <v>1.4637982671179703</v>
      </c>
      <c r="J1267" s="1">
        <f t="shared" si="1337"/>
        <v>1.5177076377530998</v>
      </c>
      <c r="K1267" s="1">
        <f t="shared" si="1337"/>
        <v>1.5623425554623156</v>
      </c>
      <c r="L1267" s="1">
        <f t="shared" ref="L1267" si="1343">IFERROR(L1216/L1140,"-")</f>
        <v>1.7159610982049471</v>
      </c>
      <c r="N1267" s="1"/>
    </row>
    <row r="1268" spans="2:14" x14ac:dyDescent="0.35">
      <c r="B1268" s="5" t="str">
        <f t="shared" si="1339"/>
        <v>SPS1</v>
      </c>
      <c r="C1268" s="5" t="str">
        <f t="shared" si="1340"/>
        <v>CH</v>
      </c>
      <c r="D1268" t="s">
        <v>1184</v>
      </c>
      <c r="E1268" t="str">
        <f t="shared" si="1341"/>
        <v>km/MJ</v>
      </c>
      <c r="F1268" s="1">
        <f t="shared" si="1337"/>
        <v>1.3374527251491981</v>
      </c>
      <c r="G1268" s="1">
        <f t="shared" si="1337"/>
        <v>1.3374527251491988</v>
      </c>
      <c r="H1268" s="1">
        <f t="shared" si="1337"/>
        <v>1.3374527251491999</v>
      </c>
      <c r="I1268" s="1">
        <f t="shared" si="1337"/>
        <v>1.3374527251491997</v>
      </c>
      <c r="J1268" s="1">
        <f t="shared" si="1337"/>
        <v>1.4036922162012062</v>
      </c>
      <c r="K1268" s="1">
        <f t="shared" si="1337"/>
        <v>1.4249654261591869</v>
      </c>
      <c r="L1268" s="1">
        <f t="shared" ref="L1268" si="1344">IFERROR(L1217/L1141,"-")</f>
        <v>1.5653363268292726</v>
      </c>
      <c r="N1268" s="1"/>
    </row>
    <row r="1269" spans="2:14" x14ac:dyDescent="0.35">
      <c r="B1269" s="5" t="str">
        <f t="shared" si="1339"/>
        <v>SPS1</v>
      </c>
      <c r="C1269" s="5" t="str">
        <f t="shared" si="1340"/>
        <v>CH</v>
      </c>
      <c r="D1269" t="s">
        <v>1185</v>
      </c>
      <c r="E1269" t="str">
        <f t="shared" si="1341"/>
        <v>km/MJ</v>
      </c>
      <c r="F1269" s="1">
        <f t="shared" si="1337"/>
        <v>1.2949729235430756</v>
      </c>
      <c r="G1269" s="1">
        <f t="shared" si="1337"/>
        <v>1.2949729235430805</v>
      </c>
      <c r="H1269" s="1">
        <f t="shared" si="1337"/>
        <v>1.2949729235430825</v>
      </c>
      <c r="I1269" s="1">
        <f t="shared" si="1337"/>
        <v>1.2949729235430791</v>
      </c>
      <c r="J1269" s="1">
        <f t="shared" si="1337"/>
        <v>1.3184753474538837</v>
      </c>
      <c r="K1269" s="1">
        <f t="shared" si="1337"/>
        <v>1.3591405812296633</v>
      </c>
      <c r="L1269" s="1">
        <f t="shared" ref="L1269" si="1345">IFERROR(L1218/L1142,"-")</f>
        <v>1.5339640363136755</v>
      </c>
      <c r="N1269" s="1"/>
    </row>
    <row r="1270" spans="2:14" x14ac:dyDescent="0.35">
      <c r="B1270" s="5" t="str">
        <f t="shared" si="1339"/>
        <v>SPS1</v>
      </c>
      <c r="C1270" s="5" t="str">
        <f t="shared" si="1340"/>
        <v>CH</v>
      </c>
      <c r="D1270" t="s">
        <v>1186</v>
      </c>
      <c r="E1270" t="str">
        <f t="shared" si="1341"/>
        <v>km/MJ</v>
      </c>
      <c r="F1270" s="1">
        <f t="shared" ref="F1270:K1273" si="1346">IFERROR(F1219/SUM(F1143,F1176),"-")</f>
        <v>0.7117253840584401</v>
      </c>
      <c r="G1270" s="1">
        <f t="shared" si="1346"/>
        <v>0.76022826280966005</v>
      </c>
      <c r="H1270" s="1">
        <f t="shared" si="1346"/>
        <v>0.7713006936641541</v>
      </c>
      <c r="I1270" s="1">
        <f t="shared" si="1346"/>
        <v>0.81089461980320887</v>
      </c>
      <c r="J1270" s="1">
        <f t="shared" si="1346"/>
        <v>0.86398676482438297</v>
      </c>
      <c r="K1270" s="1">
        <f t="shared" si="1346"/>
        <v>0.95216929263439531</v>
      </c>
      <c r="L1270" s="1">
        <f t="shared" ref="L1270" si="1347">IFERROR(L1219/SUM(L1143,L1176),"-")</f>
        <v>1.1821575947968548</v>
      </c>
      <c r="N1270" s="1"/>
    </row>
    <row r="1271" spans="2:14" x14ac:dyDescent="0.35">
      <c r="B1271" s="5" t="str">
        <f t="shared" si="1339"/>
        <v>SPS1</v>
      </c>
      <c r="C1271" s="5" t="str">
        <f t="shared" si="1340"/>
        <v>CH</v>
      </c>
      <c r="D1271" t="s">
        <v>1187</v>
      </c>
      <c r="E1271" t="str">
        <f t="shared" si="1341"/>
        <v>km/MJ</v>
      </c>
      <c r="F1271" s="1">
        <f t="shared" si="1346"/>
        <v>0.61742953921102928</v>
      </c>
      <c r="G1271" s="1">
        <f t="shared" si="1346"/>
        <v>0.63281199035666902</v>
      </c>
      <c r="H1271" s="1">
        <f t="shared" si="1346"/>
        <v>0.64349151165315843</v>
      </c>
      <c r="I1271" s="1">
        <f t="shared" si="1346"/>
        <v>0.6836212780931562</v>
      </c>
      <c r="J1271" s="1">
        <f t="shared" si="1346"/>
        <v>0.74858528541860658</v>
      </c>
      <c r="K1271" s="1">
        <f t="shared" si="1346"/>
        <v>0.82843591612641831</v>
      </c>
      <c r="L1271" s="1">
        <f t="shared" ref="L1271" si="1348">IFERROR(L1220/SUM(L1144,L1177),"-")</f>
        <v>1.0657863351116146</v>
      </c>
      <c r="N1271" s="1"/>
    </row>
    <row r="1272" spans="2:14" x14ac:dyDescent="0.35">
      <c r="B1272" s="5" t="str">
        <f t="shared" si="1339"/>
        <v>SPS1</v>
      </c>
      <c r="C1272" s="5" t="str">
        <f t="shared" si="1340"/>
        <v>CH</v>
      </c>
      <c r="D1272" t="s">
        <v>1188</v>
      </c>
      <c r="E1272" t="str">
        <f t="shared" si="1341"/>
        <v>km/MJ</v>
      </c>
      <c r="F1272" s="1">
        <f t="shared" si="1346"/>
        <v>0.54553554869535503</v>
      </c>
      <c r="G1272" s="1">
        <f t="shared" si="1346"/>
        <v>0.60404381938016438</v>
      </c>
      <c r="H1272" s="1">
        <f t="shared" si="1346"/>
        <v>0.61793119235965166</v>
      </c>
      <c r="I1272" s="1">
        <f t="shared" si="1346"/>
        <v>0.6653183201190993</v>
      </c>
      <c r="J1272" s="1">
        <f t="shared" si="1346"/>
        <v>0.74264528028800691</v>
      </c>
      <c r="K1272" s="1">
        <f t="shared" si="1346"/>
        <v>0.85928596889263653</v>
      </c>
      <c r="L1272" s="1">
        <f t="shared" ref="L1272" si="1349">IFERROR(L1221/SUM(L1145,L1178),"-")</f>
        <v>1.1311882969273983</v>
      </c>
      <c r="N1272" s="1"/>
    </row>
    <row r="1273" spans="2:14" x14ac:dyDescent="0.35">
      <c r="B1273" s="5" t="str">
        <f t="shared" si="1339"/>
        <v>SPS1</v>
      </c>
      <c r="C1273" s="5" t="str">
        <f t="shared" si="1340"/>
        <v>CH</v>
      </c>
      <c r="D1273" t="s">
        <v>1189</v>
      </c>
      <c r="E1273" t="str">
        <f t="shared" si="1341"/>
        <v>km/MJ</v>
      </c>
      <c r="F1273" s="1">
        <f t="shared" si="1346"/>
        <v>0.51975568473665912</v>
      </c>
      <c r="G1273" s="1">
        <f t="shared" si="1346"/>
        <v>0.57147824853119411</v>
      </c>
      <c r="H1273" s="1">
        <f t="shared" si="1346"/>
        <v>0.58369156459624416</v>
      </c>
      <c r="I1273" s="1">
        <f t="shared" si="1346"/>
        <v>0.62533409599921996</v>
      </c>
      <c r="J1273" s="1">
        <f t="shared" si="1346"/>
        <v>0.67592608732777992</v>
      </c>
      <c r="K1273" s="1">
        <f t="shared" si="1346"/>
        <v>0.76668081865623461</v>
      </c>
      <c r="L1273" s="1">
        <f t="shared" ref="L1273" si="1350">IFERROR(L1222/SUM(L1146,L1179),"-")</f>
        <v>0.98407300033188261</v>
      </c>
      <c r="N1273" s="1"/>
    </row>
    <row r="1274" spans="2:14" x14ac:dyDescent="0.35">
      <c r="B1274" s="5" t="str">
        <f t="shared" si="1339"/>
        <v>SPS1</v>
      </c>
      <c r="C1274" s="5" t="str">
        <f t="shared" si="1340"/>
        <v>CH</v>
      </c>
      <c r="D1274" t="s">
        <v>1190</v>
      </c>
      <c r="E1274" t="str">
        <f t="shared" si="1341"/>
        <v>km/MJ</v>
      </c>
      <c r="F1274" s="1">
        <f t="shared" ref="F1274:K1277" si="1351">IFERROR(F1223/SUM(F1147,F1199),"-")</f>
        <v>0.72840569582556935</v>
      </c>
      <c r="G1274" s="1">
        <f t="shared" si="1351"/>
        <v>0.77349736057709495</v>
      </c>
      <c r="H1274" s="1">
        <f t="shared" si="1351"/>
        <v>0.78531102479548909</v>
      </c>
      <c r="I1274" s="1">
        <f t="shared" si="1351"/>
        <v>0.82527745504749495</v>
      </c>
      <c r="J1274" s="1">
        <f t="shared" si="1351"/>
        <v>0.87919951724194134</v>
      </c>
      <c r="K1274" s="1">
        <f t="shared" si="1351"/>
        <v>0.96711389262309877</v>
      </c>
      <c r="L1274" s="1">
        <f t="shared" ref="L1274" si="1352">IFERROR(L1223/SUM(L1147,L1199),"-")</f>
        <v>1.1862903021340085</v>
      </c>
      <c r="N1274" s="1"/>
    </row>
    <row r="1275" spans="2:14" x14ac:dyDescent="0.35">
      <c r="B1275" s="5" t="str">
        <f t="shared" si="1339"/>
        <v>SPS1</v>
      </c>
      <c r="C1275" s="5" t="str">
        <f t="shared" si="1340"/>
        <v>CH</v>
      </c>
      <c r="D1275" t="s">
        <v>1191</v>
      </c>
      <c r="E1275" t="str">
        <f t="shared" si="1341"/>
        <v>km/MJ</v>
      </c>
      <c r="F1275" s="1">
        <f t="shared" si="1351"/>
        <v>0.46329599783891878</v>
      </c>
      <c r="G1275" s="1">
        <f t="shared" si="1351"/>
        <v>0.63804648840050893</v>
      </c>
      <c r="H1275" s="1">
        <f t="shared" si="1351"/>
        <v>0.6503151333189735</v>
      </c>
      <c r="I1275" s="1">
        <f t="shared" si="1351"/>
        <v>0.69158887722201212</v>
      </c>
      <c r="J1275" s="1">
        <f t="shared" si="1351"/>
        <v>0.74324405201806532</v>
      </c>
      <c r="K1275" s="1">
        <f t="shared" si="1351"/>
        <v>0.83662912646475152</v>
      </c>
      <c r="L1275" s="1">
        <f t="shared" ref="L1275" si="1353">IFERROR(L1224/SUM(L1148,L1200),"-")</f>
        <v>1.0729207740548723</v>
      </c>
      <c r="N1275" s="1"/>
    </row>
    <row r="1276" spans="2:14" x14ac:dyDescent="0.35">
      <c r="B1276" s="5" t="str">
        <f t="shared" si="1339"/>
        <v>SPS1</v>
      </c>
      <c r="C1276" s="5" t="str">
        <f t="shared" si="1340"/>
        <v>CH</v>
      </c>
      <c r="D1276" t="s">
        <v>1192</v>
      </c>
      <c r="E1276" t="str">
        <f t="shared" si="1341"/>
        <v>km/MJ</v>
      </c>
      <c r="F1276" s="1">
        <f t="shared" si="1351"/>
        <v>0.54979346205908142</v>
      </c>
      <c r="G1276" s="1">
        <f t="shared" si="1351"/>
        <v>0.61233060486322799</v>
      </c>
      <c r="H1276" s="1">
        <f t="shared" si="1351"/>
        <v>0.62626301666848505</v>
      </c>
      <c r="I1276" s="1">
        <f t="shared" si="1351"/>
        <v>0.67374004135814247</v>
      </c>
      <c r="J1276" s="1">
        <f t="shared" si="1351"/>
        <v>0.73255471324325472</v>
      </c>
      <c r="K1276" s="1">
        <f t="shared" si="1351"/>
        <v>0.84327736964757494</v>
      </c>
      <c r="L1276" s="1">
        <f t="shared" ref="L1276" si="1354">IFERROR(L1225/SUM(L1149,L1201),"-")</f>
        <v>1.1391962922938474</v>
      </c>
      <c r="N1276" s="1"/>
    </row>
    <row r="1277" spans="2:14" x14ac:dyDescent="0.35">
      <c r="B1277" s="5" t="str">
        <f t="shared" si="1339"/>
        <v>SPS1</v>
      </c>
      <c r="C1277" s="5" t="str">
        <f t="shared" si="1340"/>
        <v>CH</v>
      </c>
      <c r="D1277" t="s">
        <v>1193</v>
      </c>
      <c r="E1277" t="str">
        <f t="shared" si="1341"/>
        <v>km/MJ</v>
      </c>
      <c r="F1277" s="1">
        <f t="shared" si="1351"/>
        <v>0.52694411100478133</v>
      </c>
      <c r="G1277" s="1">
        <f t="shared" si="1351"/>
        <v>0.57891601654378577</v>
      </c>
      <c r="H1277" s="1">
        <f t="shared" si="1351"/>
        <v>0.55967438049164442</v>
      </c>
      <c r="I1277" s="1">
        <f t="shared" si="1351"/>
        <v>0.63281695256035253</v>
      </c>
      <c r="J1277" s="1">
        <f t="shared" si="1351"/>
        <v>0.68022885156927226</v>
      </c>
      <c r="K1277" s="1">
        <f t="shared" si="1351"/>
        <v>0.77285078257637407</v>
      </c>
      <c r="L1277" s="1">
        <f t="shared" ref="L1277" si="1355">IFERROR(L1226/SUM(L1150,L1202),"-")</f>
        <v>0.98792251134621956</v>
      </c>
      <c r="N1277" s="1"/>
    </row>
    <row r="1278" spans="2:14" x14ac:dyDescent="0.35">
      <c r="B1278" s="5" t="str">
        <f t="shared" si="1339"/>
        <v>SPS1</v>
      </c>
      <c r="C1278" s="5" t="str">
        <f t="shared" si="1340"/>
        <v>CH</v>
      </c>
      <c r="D1278" t="s">
        <v>1194</v>
      </c>
      <c r="E1278" t="str">
        <f t="shared" si="1341"/>
        <v>km/MJ</v>
      </c>
      <c r="F1278" s="1" t="str">
        <f>IFERROR(F1227/F1153,"-")</f>
        <v>-</v>
      </c>
      <c r="G1278" s="1">
        <f t="shared" ref="G1278:K1278" si="1356">IFERROR(G1227/G1153,"-")</f>
        <v>1.09656966561652</v>
      </c>
      <c r="H1278" s="1">
        <f t="shared" si="1356"/>
        <v>1.0965696656165191</v>
      </c>
      <c r="I1278" s="1">
        <f t="shared" si="1356"/>
        <v>1.0965696656165207</v>
      </c>
      <c r="J1278" s="1">
        <f t="shared" si="1356"/>
        <v>1.1378385313476278</v>
      </c>
      <c r="K1278" s="1">
        <f t="shared" si="1356"/>
        <v>1.2044850139523446</v>
      </c>
      <c r="L1278" s="1">
        <f t="shared" ref="L1278" si="1357">IFERROR(L1227/L1153,"-")</f>
        <v>1.3369126657099499</v>
      </c>
      <c r="N1278" s="1"/>
    </row>
    <row r="1279" spans="2:14" x14ac:dyDescent="0.35">
      <c r="B1279" s="5" t="str">
        <f t="shared" si="1339"/>
        <v>SPS1</v>
      </c>
      <c r="C1279" s="5" t="str">
        <f t="shared" si="1340"/>
        <v>CH</v>
      </c>
      <c r="D1279" t="s">
        <v>1195</v>
      </c>
      <c r="E1279" t="str">
        <f t="shared" si="1341"/>
        <v>km/MJ</v>
      </c>
      <c r="F1279" s="1">
        <f t="shared" ref="F1279:K1279" si="1358">IFERROR(F1228/F1154,"-")</f>
        <v>0.89149519806162103</v>
      </c>
      <c r="G1279" s="1">
        <f t="shared" si="1358"/>
        <v>0.89149519806162036</v>
      </c>
      <c r="H1279" s="1">
        <f t="shared" si="1358"/>
        <v>0.89149519806162125</v>
      </c>
      <c r="I1279" s="1">
        <f t="shared" si="1358"/>
        <v>0.89149519806162125</v>
      </c>
      <c r="J1279" s="1">
        <f t="shared" si="1358"/>
        <v>0.92764710663432648</v>
      </c>
      <c r="K1279" s="1">
        <f t="shared" si="1358"/>
        <v>0.98309450579536406</v>
      </c>
      <c r="L1279" s="1">
        <f t="shared" ref="L1279" si="1359">IFERROR(L1228/L1154,"-")</f>
        <v>1.0992237972290526</v>
      </c>
      <c r="N1279" s="1"/>
    </row>
    <row r="1280" spans="2:14" x14ac:dyDescent="0.35">
      <c r="B1280" s="5" t="str">
        <f t="shared" si="1339"/>
        <v>SPS1</v>
      </c>
      <c r="C1280" s="5" t="str">
        <f t="shared" si="1340"/>
        <v>CH</v>
      </c>
      <c r="D1280" t="s">
        <v>1196</v>
      </c>
      <c r="E1280" t="str">
        <f t="shared" si="1341"/>
        <v>km/MJ</v>
      </c>
      <c r="F1280" s="1">
        <f t="shared" ref="F1280:K1280" si="1360">IFERROR(F1229/F1155,"-")</f>
        <v>0.83000507256490652</v>
      </c>
      <c r="G1280" s="1">
        <f t="shared" si="1360"/>
        <v>0.8300050725649063</v>
      </c>
      <c r="H1280" s="1">
        <f t="shared" si="1360"/>
        <v>0.83000507256490608</v>
      </c>
      <c r="I1280" s="1">
        <f t="shared" si="1360"/>
        <v>0.83000507256490497</v>
      </c>
      <c r="J1280" s="1">
        <f t="shared" si="1360"/>
        <v>0.85591819579101569</v>
      </c>
      <c r="K1280" s="1">
        <f t="shared" si="1360"/>
        <v>0.91805915818587036</v>
      </c>
      <c r="L1280" s="1">
        <f t="shared" ref="L1280" si="1361">IFERROR(L1229/L1155,"-")</f>
        <v>1.031672099711612</v>
      </c>
      <c r="N1280" s="1"/>
    </row>
    <row r="1281" spans="2:14" x14ac:dyDescent="0.35">
      <c r="B1281" s="5" t="str">
        <f t="shared" si="1339"/>
        <v>SPS1</v>
      </c>
      <c r="C1281" s="5" t="str">
        <f t="shared" si="1340"/>
        <v>CH</v>
      </c>
      <c r="D1281" t="s">
        <v>1197</v>
      </c>
      <c r="E1281" t="str">
        <f t="shared" si="1341"/>
        <v>km/MJ</v>
      </c>
      <c r="F1281" s="1" t="str">
        <f t="shared" ref="F1281:K1281" si="1362">IFERROR(F1230/F1156,"-")</f>
        <v>-</v>
      </c>
      <c r="G1281" s="1">
        <f t="shared" si="1362"/>
        <v>0.83675282096654247</v>
      </c>
      <c r="H1281" s="1">
        <f t="shared" si="1362"/>
        <v>0.8367528209665418</v>
      </c>
      <c r="I1281" s="1">
        <f t="shared" si="1362"/>
        <v>0.83675282096654202</v>
      </c>
      <c r="J1281" s="1">
        <f t="shared" si="1362"/>
        <v>0.87014062777259815</v>
      </c>
      <c r="K1281" s="1">
        <f t="shared" si="1362"/>
        <v>0.91937064499948051</v>
      </c>
      <c r="L1281" s="1">
        <f t="shared" ref="L1281" si="1363">IFERROR(L1230/L1156,"-")</f>
        <v>1.030757456572102</v>
      </c>
      <c r="N1281" s="1"/>
    </row>
    <row r="1282" spans="2:14" x14ac:dyDescent="0.35">
      <c r="B1282" s="5" t="str">
        <f t="shared" si="1339"/>
        <v>SPS1</v>
      </c>
      <c r="C1282" s="5" t="str">
        <f t="shared" si="1340"/>
        <v>CH</v>
      </c>
      <c r="D1282" t="s">
        <v>1232</v>
      </c>
      <c r="E1282" t="str">
        <f t="shared" si="1341"/>
        <v>km/MJ</v>
      </c>
      <c r="F1282" s="1">
        <f t="shared" ref="F1282:K1295" si="1364">IFERROR(F1231/F1162,"-")</f>
        <v>0.49379534694678251</v>
      </c>
      <c r="G1282" s="1">
        <f t="shared" si="1364"/>
        <v>0.50503220860251397</v>
      </c>
      <c r="H1282" s="1">
        <f t="shared" si="1364"/>
        <v>0.52188750108610971</v>
      </c>
      <c r="I1282" s="1">
        <f t="shared" si="1364"/>
        <v>0.54997965522543668</v>
      </c>
      <c r="J1282" s="1" t="str">
        <f t="shared" si="1364"/>
        <v>-</v>
      </c>
      <c r="K1282" s="1" t="str">
        <f t="shared" si="1364"/>
        <v>-</v>
      </c>
      <c r="L1282" s="1" t="str">
        <f t="shared" ref="L1282" si="1365">IFERROR(L1231/L1162,"-")</f>
        <v>-</v>
      </c>
      <c r="N1282" s="1"/>
    </row>
    <row r="1283" spans="2:14" x14ac:dyDescent="0.35">
      <c r="B1283" s="5" t="str">
        <f t="shared" si="1339"/>
        <v>SPS1</v>
      </c>
      <c r="C1283" s="5" t="str">
        <f t="shared" si="1340"/>
        <v>CH</v>
      </c>
      <c r="D1283" t="s">
        <v>1198</v>
      </c>
      <c r="E1283" t="str">
        <f t="shared" si="1341"/>
        <v>km/MJ</v>
      </c>
      <c r="F1283" s="1">
        <f t="shared" si="1364"/>
        <v>1.1325019796259992</v>
      </c>
      <c r="G1283" s="1">
        <f t="shared" si="1364"/>
        <v>1.158503232205101</v>
      </c>
      <c r="H1283" s="1">
        <f t="shared" si="1364"/>
        <v>1.1553800407942798</v>
      </c>
      <c r="I1283" s="1">
        <f t="shared" si="1364"/>
        <v>1.1989144171583941</v>
      </c>
      <c r="J1283" s="1">
        <f t="shared" si="1364"/>
        <v>0.92527389909305846</v>
      </c>
      <c r="K1283" s="1">
        <f t="shared" si="1364"/>
        <v>0.94364617299448594</v>
      </c>
      <c r="L1283" s="1">
        <f t="shared" ref="L1283" si="1366">IFERROR(L1232/L1163,"-")</f>
        <v>1.0181092420477236</v>
      </c>
      <c r="N1283" s="1"/>
    </row>
    <row r="1284" spans="2:14" x14ac:dyDescent="0.35">
      <c r="B1284" s="5" t="str">
        <f t="shared" si="1339"/>
        <v>SPS1</v>
      </c>
      <c r="C1284" s="5" t="str">
        <f t="shared" si="1340"/>
        <v>CH</v>
      </c>
      <c r="D1284" t="s">
        <v>1199</v>
      </c>
      <c r="E1284" t="str">
        <f t="shared" si="1341"/>
        <v>km/MJ</v>
      </c>
      <c r="F1284" s="1">
        <f t="shared" si="1364"/>
        <v>1.6158740807786904</v>
      </c>
      <c r="G1284" s="1">
        <f t="shared" si="1364"/>
        <v>1.8958070186860945</v>
      </c>
      <c r="H1284" s="1">
        <f t="shared" si="1364"/>
        <v>1.8869238497077183</v>
      </c>
      <c r="I1284" s="1">
        <f t="shared" si="1364"/>
        <v>1.8817010330182293</v>
      </c>
      <c r="J1284" s="1">
        <f t="shared" si="1364"/>
        <v>1.8601320687937437</v>
      </c>
      <c r="K1284" s="1">
        <f t="shared" si="1364"/>
        <v>1.6550469047320875</v>
      </c>
      <c r="L1284" s="1">
        <f t="shared" ref="L1284" si="1367">IFERROR(L1233/L1164,"-")</f>
        <v>0.84341020437618297</v>
      </c>
      <c r="N1284" s="1"/>
    </row>
    <row r="1285" spans="2:14" x14ac:dyDescent="0.35">
      <c r="B1285" s="5" t="str">
        <f t="shared" si="1339"/>
        <v>SPS1</v>
      </c>
      <c r="C1285" s="5" t="str">
        <f t="shared" si="1340"/>
        <v>CH</v>
      </c>
      <c r="D1285" t="s">
        <v>1200</v>
      </c>
      <c r="E1285" t="str">
        <f t="shared" si="1341"/>
        <v>km/MJ</v>
      </c>
      <c r="F1285" s="1">
        <f t="shared" si="1364"/>
        <v>1.9882516427297288</v>
      </c>
      <c r="G1285" s="1">
        <f t="shared" si="1364"/>
        <v>2.4953207738994463</v>
      </c>
      <c r="H1285" s="1">
        <f t="shared" si="1364"/>
        <v>2.4926941720889011</v>
      </c>
      <c r="I1285" s="1">
        <f t="shared" si="1364"/>
        <v>2.5092487641563053</v>
      </c>
      <c r="J1285" s="1">
        <f t="shared" si="1364"/>
        <v>2.5480762002650263</v>
      </c>
      <c r="K1285" s="1">
        <f t="shared" si="1364"/>
        <v>0.72207520155251148</v>
      </c>
      <c r="L1285" s="1">
        <f t="shared" ref="L1285" si="1368">IFERROR(L1234/L1165,"-")</f>
        <v>0.74992013695038051</v>
      </c>
      <c r="N1285" s="1"/>
    </row>
    <row r="1286" spans="2:14" x14ac:dyDescent="0.35">
      <c r="B1286" s="5" t="str">
        <f t="shared" si="1339"/>
        <v>SPS1</v>
      </c>
      <c r="C1286" s="5" t="str">
        <f t="shared" si="1340"/>
        <v>CH</v>
      </c>
      <c r="D1286" t="s">
        <v>1201</v>
      </c>
      <c r="E1286" t="str">
        <f t="shared" si="1341"/>
        <v>km/MJ</v>
      </c>
      <c r="F1286" s="1">
        <f t="shared" si="1364"/>
        <v>1.1496665777080215</v>
      </c>
      <c r="G1286" s="1">
        <f t="shared" si="1364"/>
        <v>1.3254545539170821</v>
      </c>
      <c r="H1286" s="1">
        <f t="shared" si="1364"/>
        <v>1.3402568346346642</v>
      </c>
      <c r="I1286" s="1">
        <f t="shared" si="1364"/>
        <v>1.3353027066458518</v>
      </c>
      <c r="J1286" s="1">
        <f t="shared" si="1364"/>
        <v>1.5988230422735505</v>
      </c>
      <c r="K1286" s="1">
        <f t="shared" si="1364"/>
        <v>0.70239229529333014</v>
      </c>
      <c r="L1286" s="1">
        <f t="shared" ref="L1286" si="1369">IFERROR(L1235/L1166,"-")</f>
        <v>0.76086339077086496</v>
      </c>
      <c r="N1286" s="1"/>
    </row>
    <row r="1287" spans="2:14" x14ac:dyDescent="0.35">
      <c r="B1287" s="5" t="str">
        <f t="shared" si="1339"/>
        <v>SPS1</v>
      </c>
      <c r="C1287" s="5" t="str">
        <f t="shared" si="1340"/>
        <v>CH</v>
      </c>
      <c r="D1287" t="s">
        <v>1202</v>
      </c>
      <c r="E1287" t="str">
        <f t="shared" si="1341"/>
        <v>km/MJ</v>
      </c>
      <c r="F1287" s="1">
        <f t="shared" si="1364"/>
        <v>0.28603940550919532</v>
      </c>
      <c r="G1287" s="1">
        <f t="shared" si="1364"/>
        <v>0.29254854993039731</v>
      </c>
      <c r="H1287" s="1">
        <f t="shared" si="1364"/>
        <v>0.30231226656220073</v>
      </c>
      <c r="I1287" s="1">
        <f t="shared" si="1364"/>
        <v>0.3185851276152068</v>
      </c>
      <c r="J1287" s="1" t="str">
        <f t="shared" si="1364"/>
        <v>-</v>
      </c>
      <c r="K1287" s="1" t="str">
        <f t="shared" si="1364"/>
        <v>-</v>
      </c>
      <c r="L1287" s="1" t="str">
        <f t="shared" ref="L1287" si="1370">IFERROR(L1236/L1167,"-")</f>
        <v>-</v>
      </c>
      <c r="N1287" s="1"/>
    </row>
    <row r="1288" spans="2:14" x14ac:dyDescent="0.35">
      <c r="B1288" s="5" t="str">
        <f t="shared" si="1339"/>
        <v>SPS1</v>
      </c>
      <c r="C1288" s="5" t="str">
        <f t="shared" si="1340"/>
        <v>CH</v>
      </c>
      <c r="D1288" t="s">
        <v>1203</v>
      </c>
      <c r="E1288" t="str">
        <f t="shared" si="1341"/>
        <v>km/MJ</v>
      </c>
      <c r="F1288" s="1">
        <f t="shared" si="1364"/>
        <v>0.6833663926867829</v>
      </c>
      <c r="G1288" s="1">
        <f t="shared" si="1364"/>
        <v>0.67612324360827381</v>
      </c>
      <c r="H1288" s="1">
        <f t="shared" si="1364"/>
        <v>0.62065821780761776</v>
      </c>
      <c r="I1288" s="1">
        <f t="shared" si="1364"/>
        <v>0.60054492337278254</v>
      </c>
      <c r="J1288" s="1">
        <f t="shared" si="1364"/>
        <v>0.58751260908878256</v>
      </c>
      <c r="K1288" s="1">
        <f t="shared" si="1364"/>
        <v>0.58206278323517591</v>
      </c>
      <c r="L1288" s="1">
        <f t="shared" ref="L1288" si="1371">IFERROR(L1237/L1168,"-")</f>
        <v>0.67751003623053174</v>
      </c>
      <c r="N1288" s="1"/>
    </row>
    <row r="1289" spans="2:14" x14ac:dyDescent="0.35">
      <c r="B1289" s="5" t="str">
        <f t="shared" si="1339"/>
        <v>SPS1</v>
      </c>
      <c r="C1289" s="5" t="str">
        <f t="shared" si="1340"/>
        <v>CH</v>
      </c>
      <c r="D1289" t="s">
        <v>1204</v>
      </c>
      <c r="E1289" t="str">
        <f t="shared" si="1341"/>
        <v>km/MJ</v>
      </c>
      <c r="F1289" s="1">
        <f t="shared" si="1364"/>
        <v>0.60751046054526714</v>
      </c>
      <c r="G1289" s="1">
        <f t="shared" si="1364"/>
        <v>0.60445838515713313</v>
      </c>
      <c r="H1289" s="1">
        <f t="shared" si="1364"/>
        <v>0.59212177110542408</v>
      </c>
      <c r="I1289" s="1">
        <f t="shared" si="1364"/>
        <v>0.5945699677094074</v>
      </c>
      <c r="J1289" s="1">
        <f t="shared" si="1364"/>
        <v>0.56503927319891378</v>
      </c>
      <c r="K1289" s="1">
        <f t="shared" si="1364"/>
        <v>0.55328606235221323</v>
      </c>
      <c r="L1289" s="1">
        <f t="shared" ref="L1289" si="1372">IFERROR(L1238/L1169,"-")</f>
        <v>0.5435844020018451</v>
      </c>
      <c r="N1289" s="1"/>
    </row>
    <row r="1290" spans="2:14" x14ac:dyDescent="0.35">
      <c r="B1290" s="5" t="str">
        <f t="shared" si="1339"/>
        <v>SPS1</v>
      </c>
      <c r="C1290" s="5" t="str">
        <f t="shared" si="1340"/>
        <v>CH</v>
      </c>
      <c r="D1290" t="s">
        <v>1205</v>
      </c>
      <c r="E1290" t="str">
        <f t="shared" si="1341"/>
        <v>km/MJ</v>
      </c>
      <c r="F1290" s="1">
        <f t="shared" si="1364"/>
        <v>0.51906136962200045</v>
      </c>
      <c r="G1290" s="1">
        <f t="shared" si="1364"/>
        <v>0.51602752385378514</v>
      </c>
      <c r="H1290" s="1">
        <f t="shared" si="1364"/>
        <v>0.51027049239010225</v>
      </c>
      <c r="I1290" s="1">
        <f t="shared" si="1364"/>
        <v>0.5133397396907573</v>
      </c>
      <c r="J1290" s="1">
        <f t="shared" si="1364"/>
        <v>0.49052803202319195</v>
      </c>
      <c r="K1290" s="1">
        <f t="shared" si="1364"/>
        <v>0.48223134943887425</v>
      </c>
      <c r="L1290" s="1">
        <f t="shared" ref="L1290" si="1373">IFERROR(L1239/L1170,"-")</f>
        <v>0.51445052750687381</v>
      </c>
      <c r="N1290" s="1"/>
    </row>
    <row r="1291" spans="2:14" x14ac:dyDescent="0.35">
      <c r="B1291" s="5" t="str">
        <f t="shared" si="1339"/>
        <v>SPS1</v>
      </c>
      <c r="C1291" s="5" t="str">
        <f t="shared" si="1340"/>
        <v>CH</v>
      </c>
      <c r="D1291" t="s">
        <v>1206</v>
      </c>
      <c r="E1291" t="str">
        <f t="shared" si="1341"/>
        <v>km/MJ</v>
      </c>
      <c r="F1291" s="1">
        <f t="shared" si="1364"/>
        <v>0.44030449667388438</v>
      </c>
      <c r="G1291" s="1">
        <f t="shared" si="1364"/>
        <v>0.43329659860831332</v>
      </c>
      <c r="H1291" s="1">
        <f t="shared" si="1364"/>
        <v>0.43379961557972457</v>
      </c>
      <c r="I1291" s="1">
        <f t="shared" si="1364"/>
        <v>0.43748248212351987</v>
      </c>
      <c r="J1291" s="1">
        <f t="shared" si="1364"/>
        <v>0.46750013439463056</v>
      </c>
      <c r="K1291" s="1">
        <f t="shared" si="1364"/>
        <v>0.48943854493979355</v>
      </c>
      <c r="L1291" s="1">
        <f t="shared" ref="L1291" si="1374">IFERROR(L1240/L1171,"-")</f>
        <v>0.5520211445007116</v>
      </c>
      <c r="N1291" s="1"/>
    </row>
    <row r="1292" spans="2:14" x14ac:dyDescent="0.35">
      <c r="B1292" s="5" t="str">
        <f t="shared" si="1339"/>
        <v>SPS1</v>
      </c>
      <c r="C1292" s="5" t="str">
        <f t="shared" si="1340"/>
        <v>CH</v>
      </c>
      <c r="D1292" t="s">
        <v>1207</v>
      </c>
      <c r="E1292" t="str">
        <f t="shared" si="1341"/>
        <v>km/MJ</v>
      </c>
      <c r="F1292" s="1" t="str">
        <f t="shared" si="1364"/>
        <v>-</v>
      </c>
      <c r="G1292" s="1">
        <f t="shared" si="1364"/>
        <v>0.51837627625535154</v>
      </c>
      <c r="H1292" s="1">
        <f t="shared" si="1364"/>
        <v>0.54536660535894355</v>
      </c>
      <c r="I1292" s="1">
        <f t="shared" si="1364"/>
        <v>0.60940130730922293</v>
      </c>
      <c r="J1292" s="1">
        <f t="shared" si="1364"/>
        <v>0.6095137577221611</v>
      </c>
      <c r="K1292" s="1">
        <f t="shared" si="1364"/>
        <v>0.60965321928630056</v>
      </c>
      <c r="L1292" s="1">
        <f t="shared" ref="L1292" si="1375">IFERROR(L1241/L1172,"-")</f>
        <v>0.74209592932517809</v>
      </c>
      <c r="N1292" s="1"/>
    </row>
    <row r="1293" spans="2:14" x14ac:dyDescent="0.35">
      <c r="B1293" s="5" t="str">
        <f t="shared" si="1339"/>
        <v>SPS1</v>
      </c>
      <c r="C1293" s="5" t="str">
        <f t="shared" si="1340"/>
        <v>CH</v>
      </c>
      <c r="D1293" t="s">
        <v>1208</v>
      </c>
      <c r="E1293" t="str">
        <f t="shared" si="1341"/>
        <v>km/MJ</v>
      </c>
      <c r="F1293" s="1" t="str">
        <f t="shared" si="1364"/>
        <v>-</v>
      </c>
      <c r="G1293" s="1">
        <f t="shared" si="1364"/>
        <v>0.41733711223535086</v>
      </c>
      <c r="H1293" s="1">
        <f t="shared" si="1364"/>
        <v>0.440473005686988</v>
      </c>
      <c r="I1293" s="1">
        <f t="shared" si="1364"/>
        <v>0.46728749867842029</v>
      </c>
      <c r="J1293" s="1">
        <f t="shared" si="1364"/>
        <v>0.51297575729094635</v>
      </c>
      <c r="K1293" s="1">
        <f t="shared" si="1364"/>
        <v>0.55329458721617564</v>
      </c>
      <c r="L1293" s="1">
        <f t="shared" ref="L1293" si="1376">IFERROR(L1242/L1173,"-")</f>
        <v>0.61817904310980154</v>
      </c>
      <c r="N1293" s="1"/>
    </row>
    <row r="1294" spans="2:14" x14ac:dyDescent="0.35">
      <c r="B1294" s="5" t="str">
        <f t="shared" si="1339"/>
        <v>SPS1</v>
      </c>
      <c r="C1294" s="5" t="str">
        <f t="shared" si="1340"/>
        <v>CH</v>
      </c>
      <c r="D1294" t="s">
        <v>1209</v>
      </c>
      <c r="E1294" t="str">
        <f t="shared" si="1341"/>
        <v>km/MJ</v>
      </c>
      <c r="F1294" s="1" t="str">
        <f t="shared" si="1364"/>
        <v>-</v>
      </c>
      <c r="G1294" s="1">
        <f t="shared" si="1364"/>
        <v>0.38796990995538694</v>
      </c>
      <c r="H1294" s="1">
        <f t="shared" si="1364"/>
        <v>0.40867309170355126</v>
      </c>
      <c r="I1294" s="1">
        <f t="shared" si="1364"/>
        <v>0.43162900933714227</v>
      </c>
      <c r="J1294" s="1">
        <f t="shared" si="1364"/>
        <v>0.47627603219364661</v>
      </c>
      <c r="K1294" s="1">
        <f t="shared" si="1364"/>
        <v>0.52101097892821702</v>
      </c>
      <c r="L1294" s="1">
        <f t="shared" ref="L1294" si="1377">IFERROR(L1243/L1174,"-")</f>
        <v>0.59390213015695614</v>
      </c>
      <c r="N1294" s="1"/>
    </row>
    <row r="1295" spans="2:14" x14ac:dyDescent="0.35">
      <c r="B1295" s="5" t="str">
        <f t="shared" si="1339"/>
        <v>SPS1</v>
      </c>
      <c r="C1295" s="5" t="str">
        <f t="shared" si="1340"/>
        <v>CH</v>
      </c>
      <c r="D1295" t="s">
        <v>1210</v>
      </c>
      <c r="E1295" t="str">
        <f t="shared" si="1341"/>
        <v>km/MJ</v>
      </c>
      <c r="F1295" s="1" t="str">
        <f t="shared" si="1364"/>
        <v>-</v>
      </c>
      <c r="G1295" s="1">
        <f t="shared" si="1364"/>
        <v>0.39332458747711374</v>
      </c>
      <c r="H1295" s="1">
        <f t="shared" si="1364"/>
        <v>0.41471125547764887</v>
      </c>
      <c r="I1295" s="1">
        <f t="shared" si="1364"/>
        <v>0.43936411642448925</v>
      </c>
      <c r="J1295" s="1">
        <f t="shared" si="1364"/>
        <v>0.51884253535860858</v>
      </c>
      <c r="K1295" s="1">
        <f t="shared" si="1364"/>
        <v>0.56147978710903135</v>
      </c>
      <c r="L1295" s="1">
        <f t="shared" ref="L1295" si="1378">IFERROR(L1244/L1175,"-")</f>
        <v>0.66681032604973123</v>
      </c>
      <c r="N1295" s="1"/>
    </row>
    <row r="1296" spans="2:14" x14ac:dyDescent="0.35">
      <c r="B1296" s="5" t="str">
        <f t="shared" si="1339"/>
        <v>SPS1</v>
      </c>
      <c r="C1296" s="5" t="str">
        <f t="shared" si="1340"/>
        <v>CH</v>
      </c>
      <c r="D1296" t="s">
        <v>1234</v>
      </c>
      <c r="E1296" t="str">
        <f t="shared" si="1341"/>
        <v>km/MJ</v>
      </c>
      <c r="F1296" s="1" t="str">
        <f t="shared" ref="F1296:K1309" si="1379">IFERROR(F1245/F1185,"-")</f>
        <v>-</v>
      </c>
      <c r="G1296" s="1" t="str">
        <f t="shared" si="1379"/>
        <v>-</v>
      </c>
      <c r="H1296" s="1" t="str">
        <f t="shared" si="1379"/>
        <v>-</v>
      </c>
      <c r="I1296" s="1" t="str">
        <f t="shared" si="1379"/>
        <v>-</v>
      </c>
      <c r="J1296" s="1" t="str">
        <f t="shared" si="1379"/>
        <v>-</v>
      </c>
      <c r="K1296" s="1" t="str">
        <f t="shared" si="1379"/>
        <v>-</v>
      </c>
      <c r="L1296" s="1" t="str">
        <f t="shared" ref="L1296" si="1380">IFERROR(L1245/L1185,"-")</f>
        <v>-</v>
      </c>
      <c r="N1296" s="1"/>
    </row>
    <row r="1297" spans="2:14" x14ac:dyDescent="0.35">
      <c r="B1297" s="5" t="str">
        <f t="shared" si="1339"/>
        <v>SPS1</v>
      </c>
      <c r="C1297" s="5" t="str">
        <f t="shared" si="1340"/>
        <v>CH</v>
      </c>
      <c r="D1297" t="s">
        <v>1211</v>
      </c>
      <c r="E1297" t="str">
        <f t="shared" si="1341"/>
        <v>km/MJ</v>
      </c>
      <c r="F1297" s="1">
        <f t="shared" si="1379"/>
        <v>0.41824117647058795</v>
      </c>
      <c r="G1297" s="1">
        <f t="shared" si="1379"/>
        <v>1.6975902875735422</v>
      </c>
      <c r="H1297" s="1">
        <f t="shared" si="1379"/>
        <v>1.6970461014475282</v>
      </c>
      <c r="I1297" s="1">
        <f t="shared" si="1379"/>
        <v>1.6957859464145826</v>
      </c>
      <c r="J1297" s="1">
        <f t="shared" si="1379"/>
        <v>1.4840559648491294</v>
      </c>
      <c r="K1297" s="1">
        <f t="shared" si="1379"/>
        <v>0.96615175471809478</v>
      </c>
      <c r="L1297" s="1">
        <f t="shared" ref="L1297" si="1381">IFERROR(L1246/L1186,"-")</f>
        <v>0.96820453933981798</v>
      </c>
      <c r="N1297" s="1"/>
    </row>
    <row r="1298" spans="2:14" x14ac:dyDescent="0.35">
      <c r="B1298" s="5" t="str">
        <f t="shared" si="1339"/>
        <v>SPS1</v>
      </c>
      <c r="C1298" s="5" t="str">
        <f t="shared" si="1340"/>
        <v>CH</v>
      </c>
      <c r="D1298" t="s">
        <v>1212</v>
      </c>
      <c r="E1298" t="str">
        <f t="shared" si="1341"/>
        <v>km/MJ</v>
      </c>
      <c r="F1298" s="1">
        <f t="shared" si="1379"/>
        <v>1.1735069900851709</v>
      </c>
      <c r="G1298" s="1">
        <f t="shared" si="1379"/>
        <v>2.6814352394669108</v>
      </c>
      <c r="H1298" s="1">
        <f t="shared" si="1379"/>
        <v>2.3409839692782581</v>
      </c>
      <c r="I1298" s="1">
        <f t="shared" si="1379"/>
        <v>2.3243010698539321</v>
      </c>
      <c r="J1298" s="1">
        <f t="shared" si="1379"/>
        <v>1.1707480659075682</v>
      </c>
      <c r="K1298" s="1">
        <f t="shared" si="1379"/>
        <v>0.81566898189121606</v>
      </c>
      <c r="L1298" s="1">
        <f t="shared" ref="L1298" si="1382">IFERROR(L1247/L1187,"-")</f>
        <v>0.85817613178168817</v>
      </c>
      <c r="N1298" s="1"/>
    </row>
    <row r="1299" spans="2:14" x14ac:dyDescent="0.35">
      <c r="B1299" s="5" t="str">
        <f t="shared" si="1339"/>
        <v>SPS1</v>
      </c>
      <c r="C1299" s="5" t="str">
        <f t="shared" si="1340"/>
        <v>CH</v>
      </c>
      <c r="D1299" t="s">
        <v>1213</v>
      </c>
      <c r="E1299" t="str">
        <f t="shared" si="1341"/>
        <v>km/MJ</v>
      </c>
      <c r="F1299" s="1">
        <f t="shared" si="1379"/>
        <v>0.89654749586826543</v>
      </c>
      <c r="G1299" s="1">
        <f t="shared" si="1379"/>
        <v>1.187056746134481</v>
      </c>
      <c r="H1299" s="1">
        <f t="shared" si="1379"/>
        <v>1.1822544798073802</v>
      </c>
      <c r="I1299" s="1">
        <f t="shared" si="1379"/>
        <v>1.256356877201662</v>
      </c>
      <c r="J1299" s="1">
        <f t="shared" si="1379"/>
        <v>1.4616734499940147</v>
      </c>
      <c r="K1299" s="1">
        <f t="shared" si="1379"/>
        <v>0.71245819999034732</v>
      </c>
      <c r="L1299" s="1">
        <f t="shared" ref="L1299" si="1383">IFERROR(L1248/L1188,"-")</f>
        <v>0.74944672417860159</v>
      </c>
      <c r="N1299" s="1"/>
    </row>
    <row r="1300" spans="2:14" x14ac:dyDescent="0.35">
      <c r="B1300" s="5" t="str">
        <f t="shared" si="1339"/>
        <v>SPS1</v>
      </c>
      <c r="C1300" s="5" t="str">
        <f t="shared" si="1340"/>
        <v>CH</v>
      </c>
      <c r="D1300" t="s">
        <v>1214</v>
      </c>
      <c r="E1300" t="str">
        <f t="shared" si="1341"/>
        <v>km/MJ</v>
      </c>
      <c r="F1300" s="1">
        <f t="shared" si="1379"/>
        <v>1.3459530823171177</v>
      </c>
      <c r="G1300" s="1">
        <f t="shared" si="1379"/>
        <v>1.5773105399867682</v>
      </c>
      <c r="H1300" s="1">
        <f t="shared" si="1379"/>
        <v>1.5860217041231466</v>
      </c>
      <c r="I1300" s="1">
        <f t="shared" si="1379"/>
        <v>1.6230124043259515</v>
      </c>
      <c r="J1300" s="1">
        <f t="shared" si="1379"/>
        <v>1.5765050005065528</v>
      </c>
      <c r="K1300" s="1">
        <f t="shared" si="1379"/>
        <v>0.70302760167720313</v>
      </c>
      <c r="L1300" s="1">
        <f t="shared" ref="L1300" si="1384">IFERROR(L1249/L1189,"-")</f>
        <v>0.76104858252736496</v>
      </c>
      <c r="N1300" s="1"/>
    </row>
    <row r="1301" spans="2:14" x14ac:dyDescent="0.35">
      <c r="B1301" s="5" t="str">
        <f t="shared" si="1339"/>
        <v>SPS1</v>
      </c>
      <c r="C1301" s="5" t="str">
        <f t="shared" si="1340"/>
        <v>CH</v>
      </c>
      <c r="D1301" t="s">
        <v>1215</v>
      </c>
      <c r="E1301" t="str">
        <f t="shared" si="1341"/>
        <v>km/MJ</v>
      </c>
      <c r="F1301" s="1">
        <f t="shared" si="1379"/>
        <v>0.33901850024086017</v>
      </c>
      <c r="G1301" s="1">
        <f t="shared" si="1379"/>
        <v>0.35391427166601092</v>
      </c>
      <c r="H1301" s="1">
        <f t="shared" si="1379"/>
        <v>0.3762579288037376</v>
      </c>
      <c r="I1301" s="1">
        <f t="shared" si="1379"/>
        <v>0.41349735736661403</v>
      </c>
      <c r="J1301" s="1" t="str">
        <f t="shared" si="1379"/>
        <v>-</v>
      </c>
      <c r="K1301" s="1" t="str">
        <f t="shared" si="1379"/>
        <v>-</v>
      </c>
      <c r="L1301" s="1" t="str">
        <f t="shared" ref="L1301" si="1385">IFERROR(L1250/L1190,"-")</f>
        <v>-</v>
      </c>
      <c r="N1301" s="1"/>
    </row>
    <row r="1302" spans="2:14" x14ac:dyDescent="0.35">
      <c r="B1302" s="5" t="str">
        <f t="shared" si="1339"/>
        <v>SPS1</v>
      </c>
      <c r="C1302" s="5" t="str">
        <f t="shared" si="1340"/>
        <v>CH</v>
      </c>
      <c r="D1302" t="s">
        <v>1216</v>
      </c>
      <c r="E1302" t="str">
        <f t="shared" si="1341"/>
        <v>km/MJ</v>
      </c>
      <c r="F1302" s="1">
        <f t="shared" si="1379"/>
        <v>0.75059680953457819</v>
      </c>
      <c r="G1302" s="1">
        <f t="shared" si="1379"/>
        <v>0.76634830449136238</v>
      </c>
      <c r="H1302" s="1">
        <f t="shared" si="1379"/>
        <v>0.76813305752830963</v>
      </c>
      <c r="I1302" s="1">
        <f t="shared" si="1379"/>
        <v>0.78698795287682177</v>
      </c>
      <c r="J1302" s="1">
        <f t="shared" si="1379"/>
        <v>0.77075186573964205</v>
      </c>
      <c r="K1302" s="1">
        <f t="shared" si="1379"/>
        <v>0.6614938830262268</v>
      </c>
      <c r="L1302" s="1">
        <f t="shared" ref="L1302" si="1386">IFERROR(L1251/L1191,"-")</f>
        <v>0.70016742250272679</v>
      </c>
      <c r="N1302" s="1"/>
    </row>
    <row r="1303" spans="2:14" x14ac:dyDescent="0.35">
      <c r="B1303" s="5" t="str">
        <f t="shared" si="1339"/>
        <v>SPS1</v>
      </c>
      <c r="C1303" s="5" t="str">
        <f t="shared" si="1340"/>
        <v>CH</v>
      </c>
      <c r="D1303" t="s">
        <v>1217</v>
      </c>
      <c r="E1303" t="str">
        <f t="shared" si="1341"/>
        <v>km/MJ</v>
      </c>
      <c r="F1303" s="1">
        <f t="shared" si="1379"/>
        <v>0.72838086731958096</v>
      </c>
      <c r="G1303" s="1">
        <f t="shared" si="1379"/>
        <v>0.70373613143970304</v>
      </c>
      <c r="H1303" s="1">
        <f t="shared" si="1379"/>
        <v>0.7349862682226328</v>
      </c>
      <c r="I1303" s="1">
        <f t="shared" si="1379"/>
        <v>0.76299190605955858</v>
      </c>
      <c r="J1303" s="1">
        <f t="shared" si="1379"/>
        <v>0.8288599559376183</v>
      </c>
      <c r="K1303" s="1">
        <f t="shared" si="1379"/>
        <v>0.53353355256654778</v>
      </c>
      <c r="L1303" s="1">
        <f t="shared" ref="L1303" si="1387">IFERROR(L1252/L1192,"-")</f>
        <v>0.56340560742015</v>
      </c>
      <c r="N1303" s="1"/>
    </row>
    <row r="1304" spans="2:14" x14ac:dyDescent="0.35">
      <c r="B1304" s="5" t="str">
        <f t="shared" si="1339"/>
        <v>SPS1</v>
      </c>
      <c r="C1304" s="5" t="str">
        <f t="shared" si="1340"/>
        <v>CH</v>
      </c>
      <c r="D1304" t="s">
        <v>1218</v>
      </c>
      <c r="E1304" t="str">
        <f t="shared" si="1341"/>
        <v>km/MJ</v>
      </c>
      <c r="F1304" s="1">
        <f t="shared" si="1379"/>
        <v>0.53867655328579922</v>
      </c>
      <c r="G1304" s="1">
        <f t="shared" si="1379"/>
        <v>0.53241771597990983</v>
      </c>
      <c r="H1304" s="1">
        <f t="shared" si="1379"/>
        <v>0.53195263804654103</v>
      </c>
      <c r="I1304" s="1">
        <f t="shared" si="1379"/>
        <v>0.54121766490475509</v>
      </c>
      <c r="J1304" s="1">
        <f t="shared" si="1379"/>
        <v>0.59131012261482618</v>
      </c>
      <c r="K1304" s="1">
        <f t="shared" si="1379"/>
        <v>0.4932524911951674</v>
      </c>
      <c r="L1304" s="1">
        <f t="shared" ref="L1304" si="1388">IFERROR(L1253/L1193,"-")</f>
        <v>0.52882733010290273</v>
      </c>
      <c r="N1304" s="1"/>
    </row>
    <row r="1305" spans="2:14" x14ac:dyDescent="0.35">
      <c r="B1305" s="5" t="str">
        <f t="shared" si="1339"/>
        <v>SPS1</v>
      </c>
      <c r="C1305" s="5" t="str">
        <f t="shared" si="1340"/>
        <v>CH</v>
      </c>
      <c r="D1305" t="s">
        <v>1219</v>
      </c>
      <c r="E1305" t="str">
        <f t="shared" si="1341"/>
        <v>km/MJ</v>
      </c>
      <c r="F1305" s="1">
        <f t="shared" si="1379"/>
        <v>0.46606405176642995</v>
      </c>
      <c r="G1305" s="1">
        <f t="shared" si="1379"/>
        <v>0.45575016233401461</v>
      </c>
      <c r="H1305" s="1">
        <f t="shared" si="1379"/>
        <v>0.45676843129870365</v>
      </c>
      <c r="I1305" s="1">
        <f t="shared" si="1379"/>
        <v>0.46657123734679612</v>
      </c>
      <c r="J1305" s="1">
        <f t="shared" si="1379"/>
        <v>0.39059355621195796</v>
      </c>
      <c r="K1305" s="1">
        <f t="shared" si="1379"/>
        <v>0.46394540816997215</v>
      </c>
      <c r="L1305" s="1">
        <f t="shared" ref="L1305" si="1389">IFERROR(L1254/L1194,"-")</f>
        <v>0.50184516161703596</v>
      </c>
      <c r="N1305" s="1"/>
    </row>
    <row r="1306" spans="2:14" x14ac:dyDescent="0.35">
      <c r="B1306" s="5" t="str">
        <f t="shared" si="1339"/>
        <v>SPS1</v>
      </c>
      <c r="C1306" s="5" t="str">
        <f t="shared" si="1340"/>
        <v>CH</v>
      </c>
      <c r="D1306" t="s">
        <v>1220</v>
      </c>
      <c r="E1306" t="str">
        <f t="shared" si="1341"/>
        <v>km/MJ</v>
      </c>
      <c r="F1306" s="1" t="str">
        <f t="shared" si="1379"/>
        <v>-</v>
      </c>
      <c r="G1306" s="1">
        <f t="shared" si="1379"/>
        <v>0.56203544748554657</v>
      </c>
      <c r="H1306" s="1">
        <f t="shared" si="1379"/>
        <v>0.58532239371214578</v>
      </c>
      <c r="I1306" s="1">
        <f t="shared" si="1379"/>
        <v>0.64305460187038943</v>
      </c>
      <c r="J1306" s="1">
        <f t="shared" si="1379"/>
        <v>0.65511482210616667</v>
      </c>
      <c r="K1306" s="1">
        <f t="shared" si="1379"/>
        <v>0.66184037358740644</v>
      </c>
      <c r="L1306" s="1">
        <f t="shared" ref="L1306" si="1390">IFERROR(L1255/L1195,"-")</f>
        <v>0.70697932677318842</v>
      </c>
      <c r="N1306" s="1"/>
    </row>
    <row r="1307" spans="2:14" x14ac:dyDescent="0.35">
      <c r="B1307" s="5" t="str">
        <f t="shared" si="1339"/>
        <v>SPS1</v>
      </c>
      <c r="C1307" s="5" t="str">
        <f t="shared" si="1340"/>
        <v>CH</v>
      </c>
      <c r="D1307" t="s">
        <v>1221</v>
      </c>
      <c r="E1307" t="str">
        <f t="shared" si="1341"/>
        <v>km/MJ</v>
      </c>
      <c r="F1307" s="1" t="str">
        <f t="shared" si="1379"/>
        <v>-</v>
      </c>
      <c r="G1307" s="1">
        <f t="shared" si="1379"/>
        <v>0.45210145766281473</v>
      </c>
      <c r="H1307" s="1">
        <f t="shared" si="1379"/>
        <v>0.4725147909241455</v>
      </c>
      <c r="I1307" s="1">
        <f t="shared" si="1379"/>
        <v>0.49813198910047718</v>
      </c>
      <c r="J1307" s="1">
        <f t="shared" si="1379"/>
        <v>0.55260407988325855</v>
      </c>
      <c r="K1307" s="1">
        <f t="shared" si="1379"/>
        <v>0.58963223379761509</v>
      </c>
      <c r="L1307" s="1">
        <f t="shared" ref="L1307" si="1391">IFERROR(L1256/L1196,"-")</f>
        <v>0.63819647273089597</v>
      </c>
      <c r="N1307" s="1"/>
    </row>
    <row r="1308" spans="2:14" x14ac:dyDescent="0.35">
      <c r="B1308" s="5" t="str">
        <f t="shared" si="1339"/>
        <v>SPS1</v>
      </c>
      <c r="C1308" s="5" t="str">
        <f t="shared" si="1340"/>
        <v>CH</v>
      </c>
      <c r="D1308" t="s">
        <v>1222</v>
      </c>
      <c r="E1308" t="str">
        <f t="shared" si="1341"/>
        <v>km/MJ</v>
      </c>
      <c r="F1308" s="1" t="str">
        <f t="shared" si="1379"/>
        <v>-</v>
      </c>
      <c r="G1308" s="1">
        <f t="shared" si="1379"/>
        <v>0.42028149632876888</v>
      </c>
      <c r="H1308" s="1">
        <f t="shared" si="1379"/>
        <v>0.43844334931875101</v>
      </c>
      <c r="I1308" s="1">
        <f t="shared" si="1379"/>
        <v>0.46044011797010065</v>
      </c>
      <c r="J1308" s="1">
        <f t="shared" si="1379"/>
        <v>0.51959094738734701</v>
      </c>
      <c r="K1308" s="1">
        <f t="shared" si="1379"/>
        <v>0.58708204399616459</v>
      </c>
      <c r="L1308" s="1">
        <f t="shared" ref="L1308" si="1392">IFERROR(L1257/L1197,"-")</f>
        <v>0.68148475980036738</v>
      </c>
      <c r="N1308" s="1"/>
    </row>
    <row r="1309" spans="2:14" x14ac:dyDescent="0.35">
      <c r="B1309" s="5" t="str">
        <f t="shared" si="1339"/>
        <v>SPS1</v>
      </c>
      <c r="C1309" s="5" t="str">
        <f t="shared" si="1340"/>
        <v>CH</v>
      </c>
      <c r="D1309" t="s">
        <v>1223</v>
      </c>
      <c r="E1309" t="str">
        <f t="shared" si="1341"/>
        <v>km/MJ</v>
      </c>
      <c r="F1309" s="1" t="str">
        <f t="shared" si="1379"/>
        <v>-</v>
      </c>
      <c r="G1309" s="1">
        <f t="shared" si="1379"/>
        <v>0.3994340392549478</v>
      </c>
      <c r="H1309" s="1">
        <f t="shared" si="1379"/>
        <v>0.41491372869073079</v>
      </c>
      <c r="I1309" s="1">
        <f t="shared" si="1379"/>
        <v>0.43392669084683677</v>
      </c>
      <c r="J1309" s="1">
        <f t="shared" si="1379"/>
        <v>0.47697848692714345</v>
      </c>
      <c r="K1309" s="1">
        <f t="shared" si="1379"/>
        <v>0.52278453216197251</v>
      </c>
      <c r="L1309" s="1">
        <f t="shared" ref="L1309" si="1393">IFERROR(L1258/L1198,"-")</f>
        <v>0.6000115995679447</v>
      </c>
      <c r="N1309" s="1"/>
    </row>
    <row r="1310" spans="2:14" x14ac:dyDescent="0.35">
      <c r="B1310" s="5" t="str">
        <f t="shared" si="1339"/>
        <v>SPS1</v>
      </c>
      <c r="C1310" s="5" t="str">
        <f t="shared" si="1340"/>
        <v>CH</v>
      </c>
      <c r="D1310" t="s">
        <v>1224</v>
      </c>
      <c r="E1310" t="str">
        <f t="shared" si="1341"/>
        <v>km/MJ</v>
      </c>
      <c r="F1310" s="1" t="str">
        <f>IFERROR(F1259/F1208,"-")</f>
        <v>-</v>
      </c>
      <c r="G1310" s="1">
        <f t="shared" ref="G1310:K1314" si="1394">IFERROR(G1259/G1199,"-")</f>
        <v>0</v>
      </c>
      <c r="H1310" s="1">
        <f t="shared" si="1394"/>
        <v>0</v>
      </c>
      <c r="I1310" s="1">
        <f t="shared" si="1394"/>
        <v>0</v>
      </c>
      <c r="J1310" s="1">
        <f t="shared" si="1394"/>
        <v>0</v>
      </c>
      <c r="K1310" s="1">
        <f t="shared" si="1394"/>
        <v>0</v>
      </c>
      <c r="L1310" s="1">
        <f t="shared" ref="L1310" si="1395">IFERROR(L1259/L1199,"-")</f>
        <v>0</v>
      </c>
      <c r="N1310" s="1"/>
    </row>
    <row r="1311" spans="2:14" x14ac:dyDescent="0.35">
      <c r="B1311" s="5" t="str">
        <f t="shared" si="1339"/>
        <v>SPS1</v>
      </c>
      <c r="C1311" s="5" t="str">
        <f t="shared" si="1340"/>
        <v>CH</v>
      </c>
      <c r="D1311" t="s">
        <v>1225</v>
      </c>
      <c r="E1311" t="str">
        <f t="shared" si="1341"/>
        <v>km/MJ</v>
      </c>
      <c r="F1311" s="1">
        <f>IFERROR(F1260/F1209,"-")</f>
        <v>0.61552194130488425</v>
      </c>
      <c r="G1311" s="1">
        <f t="shared" si="1394"/>
        <v>4.9495645683813825</v>
      </c>
      <c r="H1311" s="1">
        <f t="shared" si="1394"/>
        <v>1.194216002174479</v>
      </c>
      <c r="I1311" s="1">
        <f t="shared" si="1394"/>
        <v>6.6926678250348565E-2</v>
      </c>
      <c r="J1311" s="1">
        <f t="shared" si="1394"/>
        <v>2.812107337244675E-2</v>
      </c>
      <c r="K1311" s="1">
        <f t="shared" si="1394"/>
        <v>1.8473683072359734E-2</v>
      </c>
      <c r="L1311" s="1">
        <f t="shared" ref="L1311" si="1396">IFERROR(L1260/L1200,"-")</f>
        <v>2.4794438772810932E-2</v>
      </c>
      <c r="N1311" s="1"/>
    </row>
    <row r="1312" spans="2:14" x14ac:dyDescent="0.35">
      <c r="B1312" s="5" t="str">
        <f t="shared" si="1339"/>
        <v>SPS1</v>
      </c>
      <c r="C1312" s="5" t="str">
        <f t="shared" si="1340"/>
        <v>CH</v>
      </c>
      <c r="D1312" t="s">
        <v>1226</v>
      </c>
      <c r="E1312" t="str">
        <f t="shared" si="1341"/>
        <v>km/MJ</v>
      </c>
      <c r="F1312" s="1">
        <f>IFERROR(F1261/F1210,"-")</f>
        <v>0.63152885559218142</v>
      </c>
      <c r="G1312" s="1">
        <f t="shared" si="1394"/>
        <v>0.21438142944477662</v>
      </c>
      <c r="H1312" s="1">
        <f t="shared" si="1394"/>
        <v>2.0301393724076827E-2</v>
      </c>
      <c r="I1312" s="1">
        <f t="shared" si="1394"/>
        <v>2.6623870235492211E-5</v>
      </c>
      <c r="J1312" s="1">
        <f t="shared" si="1394"/>
        <v>3.0602479709620783E-6</v>
      </c>
      <c r="K1312" s="1">
        <f t="shared" si="1394"/>
        <v>3.7887123043791616E-6</v>
      </c>
      <c r="L1312" s="1">
        <f t="shared" ref="L1312" si="1397">IFERROR(L1261/L1201,"-")</f>
        <v>4.2855739087239937E-6</v>
      </c>
      <c r="N1312" s="1"/>
    </row>
    <row r="1313" spans="2:16" x14ac:dyDescent="0.35">
      <c r="B1313" s="5" t="str">
        <f t="shared" si="1339"/>
        <v>SPS1</v>
      </c>
      <c r="C1313" s="5" t="str">
        <f t="shared" si="1340"/>
        <v>CH</v>
      </c>
      <c r="D1313" t="s">
        <v>1227</v>
      </c>
      <c r="E1313" t="str">
        <f t="shared" si="1341"/>
        <v>km/MJ</v>
      </c>
      <c r="F1313" s="1">
        <f>IFERROR(F1262/F1211,"-")</f>
        <v>0.46788224248953986</v>
      </c>
      <c r="G1313" s="1">
        <f t="shared" si="1394"/>
        <v>0.11517338067828341</v>
      </c>
      <c r="H1313" s="1">
        <f t="shared" si="1394"/>
        <v>0.13352180004150843</v>
      </c>
      <c r="I1313" s="1">
        <f t="shared" si="1394"/>
        <v>2.2278547052480342E-2</v>
      </c>
      <c r="J1313" s="1">
        <f t="shared" si="1394"/>
        <v>3.1552371826506997E-2</v>
      </c>
      <c r="K1313" s="1">
        <f t="shared" si="1394"/>
        <v>7.6487776328146462E-2</v>
      </c>
      <c r="L1313" s="1">
        <f t="shared" ref="L1313" si="1398">IFERROR(L1262/L1202,"-")</f>
        <v>0.1304938581283808</v>
      </c>
      <c r="N1313" s="1"/>
    </row>
    <row r="1314" spans="2:16" x14ac:dyDescent="0.35">
      <c r="B1314" s="5" t="str">
        <f t="shared" si="1339"/>
        <v>SPS1</v>
      </c>
      <c r="C1314" s="5" t="str">
        <f t="shared" si="1340"/>
        <v>CH</v>
      </c>
      <c r="D1314" t="s">
        <v>1228</v>
      </c>
      <c r="E1314" t="str">
        <f t="shared" si="1341"/>
        <v>km/MJ</v>
      </c>
      <c r="F1314" s="1">
        <f>IFERROR(F1263/F1212,"-")</f>
        <v>0.68268733695678341</v>
      </c>
      <c r="G1314" s="1">
        <f t="shared" si="1394"/>
        <v>0.33145693089277356</v>
      </c>
      <c r="H1314" s="1">
        <f t="shared" si="1394"/>
        <v>0.31817004311601282</v>
      </c>
      <c r="I1314" s="1">
        <f t="shared" si="1394"/>
        <v>8.0471043239644144E-2</v>
      </c>
      <c r="J1314" s="1">
        <f t="shared" si="1394"/>
        <v>0.15021429578366732</v>
      </c>
      <c r="K1314" s="1">
        <f t="shared" si="1394"/>
        <v>0.1973448635857738</v>
      </c>
      <c r="L1314" s="1">
        <f t="shared" ref="L1314" si="1399">IFERROR(L1263/L1203,"-")</f>
        <v>0.27224980937211424</v>
      </c>
      <c r="N1314" s="1"/>
    </row>
    <row r="1315" spans="2:16" x14ac:dyDescent="0.35">
      <c r="B1315" s="9" t="str">
        <f t="shared" ref="B1315" si="1400">B1314</f>
        <v>SPS1</v>
      </c>
      <c r="C1315" s="9" t="str">
        <f t="shared" ref="C1315" si="1401">C1314</f>
        <v>CH</v>
      </c>
      <c r="D1315" s="2" t="s">
        <v>1304</v>
      </c>
      <c r="E1315" s="2" t="s">
        <v>8</v>
      </c>
      <c r="F1315" s="3">
        <f>F1316+F1322+F1327+F1341</f>
        <v>0.75061673597852163</v>
      </c>
      <c r="G1315" s="3">
        <f t="shared" ref="G1315:K1315" si="1402">G1316+G1322+G1327+G1341</f>
        <v>1.2789538637745592</v>
      </c>
      <c r="H1315" s="3">
        <f t="shared" si="1402"/>
        <v>2.1290264164494523</v>
      </c>
      <c r="I1315" s="3">
        <f t="shared" si="1402"/>
        <v>1.760367687050298</v>
      </c>
      <c r="J1315" s="3">
        <f t="shared" si="1402"/>
        <v>1.8468786504422403</v>
      </c>
      <c r="K1315" s="3">
        <f t="shared" si="1402"/>
        <v>1.9343406576668649</v>
      </c>
      <c r="L1315" s="3">
        <f t="shared" ref="L1315" si="1403">L1316+L1322+L1327+L1341</f>
        <v>1.6299511132335653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7.6869037960242649E-3</v>
      </c>
      <c r="G1316" s="1">
        <f t="shared" ref="G1316:K1316" si="1404">SUM(G1317:G1321)</f>
        <v>1.5218043798864831E-2</v>
      </c>
      <c r="H1316" s="1">
        <f t="shared" si="1404"/>
        <v>1.7121273588221263E-2</v>
      </c>
      <c r="I1316" s="1">
        <f t="shared" si="1404"/>
        <v>0.78854587015221911</v>
      </c>
      <c r="J1316" s="1">
        <f t="shared" si="1404"/>
        <v>0.71735018359652114</v>
      </c>
      <c r="K1316" s="1">
        <f t="shared" si="1404"/>
        <v>0.65898529719781029</v>
      </c>
      <c r="L1316" s="1">
        <f t="shared" ref="L1316" si="1405">SUM(L1317:L1321)</f>
        <v>0.80092408220245725</v>
      </c>
      <c r="N1316" s="1"/>
    </row>
    <row r="1317" spans="2:16" x14ac:dyDescent="0.35">
      <c r="B1317" s="5" t="str">
        <f t="shared" ref="B1317:B1350" si="1406">B1316</f>
        <v>SPS1</v>
      </c>
      <c r="C1317" s="5" t="str">
        <f t="shared" ref="C1317:C1350" si="1407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4.7732208229624195E-4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4.7568544773427814E-4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4.6673791165178428E-4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6"/>
        <v>SPS1</v>
      </c>
      <c r="C1318" s="5" t="str">
        <f t="shared" si="1407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3.6630631261930826E-7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9.5057828538310646E-4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2.023441791174271E-3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0.24553075850686898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0.24332655714820411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0.25274540723033179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0.10505369186978794</v>
      </c>
      <c r="N1318" s="1"/>
    </row>
    <row r="1319" spans="2:16" x14ac:dyDescent="0.35">
      <c r="B1319" s="5" t="str">
        <f t="shared" si="1406"/>
        <v>SPS1</v>
      </c>
      <c r="C1319" s="5" t="str">
        <f t="shared" si="1407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1.4679801662237592E-3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2.274246406421316E-3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3.0064512025952017E-3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0.1222392240955199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0.12170979615021169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0.12553509691156792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0.1207013247928702</v>
      </c>
      <c r="N1319" s="1"/>
    </row>
    <row r="1320" spans="2:16" x14ac:dyDescent="0.35">
      <c r="B1320" s="5" t="str">
        <f t="shared" si="1406"/>
        <v>SPS1</v>
      </c>
      <c r="C1320" s="5" t="str">
        <f t="shared" si="1407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5.6619592285208032E-3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1.1450008509257238E-2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1.1536732170595459E-2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0.42076221892352694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0.35230612359948327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0.28069890878949721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0.57516426193356318</v>
      </c>
      <c r="N1320" s="1"/>
    </row>
    <row r="1321" spans="2:16" x14ac:dyDescent="0.35">
      <c r="B1321" s="5" t="str">
        <f t="shared" si="1406"/>
        <v>SPS1</v>
      </c>
      <c r="C1321" s="5" t="str">
        <f t="shared" si="1407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7.9276012670841865E-5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6.7525150068892292E-5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8.7910512204545098E-5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1.3668626303285826E-5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7.7066986219940146E-6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5.8842664133528237E-6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4.8036062359328746E-6</v>
      </c>
      <c r="N1321" s="1"/>
    </row>
    <row r="1322" spans="2:16" x14ac:dyDescent="0.35">
      <c r="B1322" s="5" t="str">
        <f t="shared" si="1406"/>
        <v>SPS1</v>
      </c>
      <c r="C1322" s="5" t="str">
        <f t="shared" si="1407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8">SUM(G1323:G1326)</f>
        <v>0</v>
      </c>
      <c r="H1322" s="1">
        <f t="shared" si="1408"/>
        <v>0</v>
      </c>
      <c r="I1322" s="1">
        <f t="shared" si="1408"/>
        <v>9.9354672978348863E-7</v>
      </c>
      <c r="J1322" s="1">
        <f t="shared" si="1408"/>
        <v>0</v>
      </c>
      <c r="K1322" s="1">
        <f t="shared" si="1408"/>
        <v>0</v>
      </c>
      <c r="L1322" s="1">
        <f t="shared" ref="L1322" si="1409">SUM(L1323:L1326)</f>
        <v>0</v>
      </c>
      <c r="N1322" s="1"/>
    </row>
    <row r="1323" spans="2:16" x14ac:dyDescent="0.35">
      <c r="B1323" s="5" t="str">
        <f t="shared" si="1406"/>
        <v>SPS1</v>
      </c>
      <c r="C1323" s="5" t="str">
        <f t="shared" si="1407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3.234711081872664E-7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6"/>
        <v>SPS1</v>
      </c>
      <c r="C1324" s="5" t="str">
        <f t="shared" si="1407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6"/>
        <v>SPS1</v>
      </c>
      <c r="C1325" s="5" t="str">
        <f t="shared" si="1407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6.7007562159622218E-7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6"/>
        <v>SPS1</v>
      </c>
      <c r="C1326" s="5" t="str">
        <f t="shared" si="1407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6"/>
        <v>SPS1</v>
      </c>
      <c r="C1327" s="5" t="str">
        <f t="shared" si="1407"/>
        <v>CH</v>
      </c>
      <c r="D1327" t="s">
        <v>1317</v>
      </c>
      <c r="E1327" t="s">
        <v>8</v>
      </c>
      <c r="F1327" s="1">
        <f>SUM(F1332:F1340)</f>
        <v>0.74261291386652295</v>
      </c>
      <c r="G1327" s="1">
        <f t="shared" ref="G1327:K1327" si="1410">SUM(G1332:G1340)</f>
        <v>1.2633219482526663</v>
      </c>
      <c r="H1327" s="1">
        <f t="shared" si="1410"/>
        <v>2.0919540142821282</v>
      </c>
      <c r="I1327" s="1">
        <f t="shared" si="1410"/>
        <v>0.97182014392918592</v>
      </c>
      <c r="J1327" s="1">
        <f t="shared" si="1410"/>
        <v>1.1295284668457193</v>
      </c>
      <c r="K1327" s="1">
        <f t="shared" si="1410"/>
        <v>1.2753553604690546</v>
      </c>
      <c r="L1327" s="1">
        <f t="shared" ref="L1327" si="1411">SUM(L1332:L1340)</f>
        <v>0.82902703103110809</v>
      </c>
      <c r="N1327" s="1"/>
    </row>
    <row r="1328" spans="2:16" x14ac:dyDescent="0.35">
      <c r="B1328" s="5" t="str">
        <f t="shared" si="1406"/>
        <v>SPS1</v>
      </c>
      <c r="C1328" s="5" t="str">
        <f t="shared" si="1407"/>
        <v>CH</v>
      </c>
      <c r="D1328" t="s">
        <v>1318</v>
      </c>
      <c r="E1328" t="s">
        <v>8</v>
      </c>
      <c r="F1328" s="1">
        <f>IF(F1327-F1329&lt;0,0,F1327-F1329)</f>
        <v>0.72403452842603511</v>
      </c>
      <c r="G1328" s="1">
        <f t="shared" ref="G1328:L1328" si="1412">IF(G1327-G1329&lt;0,0,G1327-G1329)</f>
        <v>1.2303988691086341</v>
      </c>
      <c r="H1328" s="1">
        <f t="shared" si="1412"/>
        <v>1.9980707335811829</v>
      </c>
      <c r="I1328" s="1">
        <f t="shared" si="1412"/>
        <v>0.92841629683435056</v>
      </c>
      <c r="J1328" s="1">
        <f t="shared" si="1412"/>
        <v>1.0840608781372516</v>
      </c>
      <c r="K1328" s="1">
        <f t="shared" si="1412"/>
        <v>1.2239238986170871</v>
      </c>
      <c r="L1328" s="1">
        <f t="shared" si="1412"/>
        <v>0.7915006709357244</v>
      </c>
      <c r="N1328" s="1"/>
    </row>
    <row r="1329" spans="2:14" x14ac:dyDescent="0.35">
      <c r="B1329" s="5" t="str">
        <f t="shared" si="1406"/>
        <v>SPS1</v>
      </c>
      <c r="C1329" s="5" t="str">
        <f t="shared" si="1407"/>
        <v>CH</v>
      </c>
      <c r="D1329" t="s">
        <v>1319</v>
      </c>
      <c r="E1329" t="s">
        <v>8</v>
      </c>
      <c r="F1329" s="1">
        <f>SUM(F1330:F1331)</f>
        <v>1.8578385440487889E-2</v>
      </c>
      <c r="G1329" s="1">
        <f t="shared" ref="G1329" si="1413">SUM(G1330:G1331)</f>
        <v>3.2923079144032141E-2</v>
      </c>
      <c r="H1329" s="1">
        <f t="shared" ref="H1329" si="1414">SUM(H1330:H1331)</f>
        <v>9.3883280700945398E-2</v>
      </c>
      <c r="I1329" s="1">
        <f t="shared" ref="I1329" si="1415">SUM(I1330:I1331)</f>
        <v>4.3403847094835322E-2</v>
      </c>
      <c r="J1329" s="1">
        <f t="shared" ref="J1329" si="1416">SUM(J1330:J1331)</f>
        <v>4.5467588708467677E-2</v>
      </c>
      <c r="K1329" s="1">
        <f t="shared" ref="K1329:L1329" si="1417">SUM(K1330:K1331)</f>
        <v>5.1431461851967522E-2</v>
      </c>
      <c r="L1329" s="1">
        <f t="shared" si="1417"/>
        <v>3.752636009538371E-2</v>
      </c>
      <c r="N1329" s="1"/>
    </row>
    <row r="1330" spans="2:14" x14ac:dyDescent="0.35">
      <c r="B1330" s="5" t="str">
        <f t="shared" si="1406"/>
        <v>SPS1</v>
      </c>
      <c r="C1330" s="5" t="str">
        <f t="shared" si="1407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1.8578385440487889E-2</v>
      </c>
      <c r="G1330" s="1">
        <f>[1]Transport!C$26/SUM([1]Transport!C$22,[1]Transport!C$26)*G1327*(G$34+G$582)/(G$34+G$582+G$38)</f>
        <v>3.2923079144032141E-2</v>
      </c>
      <c r="H1330" s="1">
        <f>[1]Transport!D$26/SUM([1]Transport!D$22,[1]Transport!D$26)*H1327*(H$34+H$582)/(H$34+H$582+H$38)</f>
        <v>9.3883280700945398E-2</v>
      </c>
      <c r="I1330" s="1">
        <f>[1]Transport!E$26/SUM([1]Transport!E$22,[1]Transport!E$26)*I1327*(I$34+I$582)/(I$34+I$582+I$38)</f>
        <v>4.3403847094835322E-2</v>
      </c>
      <c r="J1330" s="1">
        <f>[2]Transport!F$26/SUM([2]Transport!F$22,[2]Transport!F$26)*J1327*(J$34+J$582)/(J$34+J$582+J$38)</f>
        <v>4.5467588708467677E-2</v>
      </c>
      <c r="K1330" s="1">
        <f>[2]Transport!G$26/SUM([2]Transport!G$22,[2]Transport!G$26)*K1327*(K$34+K$582)/(K$34+K$582+K$38)</f>
        <v>5.1431461851967522E-2</v>
      </c>
      <c r="L1330" s="1">
        <f>[2]Transport!H$26/SUM([2]Transport!H$22,[2]Transport!H$26)*L1327*(L$34+L$582)/(L$34+L$582+L$38)</f>
        <v>3.752636009538371E-2</v>
      </c>
      <c r="N1330" s="1"/>
    </row>
    <row r="1331" spans="2:14" x14ac:dyDescent="0.35">
      <c r="B1331" s="5" t="str">
        <f t="shared" si="1406"/>
        <v>SPS1</v>
      </c>
      <c r="C1331" s="5" t="str">
        <f t="shared" si="1407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406"/>
        <v>SPS1</v>
      </c>
      <c r="C1332" s="5" t="str">
        <f t="shared" si="1407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0.21002591431714238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0.21021136234791268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1.1561703579173714E-4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1.6817752853283847E-4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2.3912924334022843E-4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0.32810580750576696</v>
      </c>
      <c r="N1332" s="1"/>
    </row>
    <row r="1333" spans="2:14" x14ac:dyDescent="0.35">
      <c r="B1333" s="5" t="str">
        <f t="shared" si="1406"/>
        <v>SPS1</v>
      </c>
      <c r="C1333" s="5" t="str">
        <f t="shared" si="1407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3.4347033722350722E-4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4.5974044234765084E-4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2.1605496187380093E-4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1.6498473549153653E-4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2.0925630632724436E-4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1.7817822794742483E-4</v>
      </c>
      <c r="N1333" s="1"/>
    </row>
    <row r="1334" spans="2:14" x14ac:dyDescent="0.35">
      <c r="B1334" s="5" t="str">
        <f t="shared" si="1406"/>
        <v>SPS1</v>
      </c>
      <c r="C1334" s="5" t="str">
        <f t="shared" si="1407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2.8593265268542955E-2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0.56703556509144171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0.9714479325195895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1.1291953045816949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1.2749069749193871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0.50074304529739377</v>
      </c>
      <c r="N1334" s="1"/>
    </row>
    <row r="1335" spans="2:14" x14ac:dyDescent="0.35">
      <c r="B1335" s="5" t="str">
        <f t="shared" si="1406"/>
        <v>SPS1</v>
      </c>
      <c r="C1335" s="5" t="str">
        <f t="shared" si="1407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0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0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6"/>
        <v>SPS1</v>
      </c>
      <c r="C1336" s="5" t="str">
        <f t="shared" si="1407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1.734020441062115E-2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1.7318128685537313E-2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1.7250406276365121E-2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6"/>
        <v>SPS1</v>
      </c>
      <c r="C1337" s="5" t="str">
        <f t="shared" si="1407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2.6696798025911716E-4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2.0505342942390352E-3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0.20565837985425528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4.0539411930982129E-5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406"/>
        <v>SPS1</v>
      </c>
      <c r="C1338" s="5" t="str">
        <f t="shared" si="1407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0.1111891794332994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0.13536964687649622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0.22147796109758797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6"/>
        <v>SPS1</v>
      </c>
      <c r="C1339" s="5" t="str">
        <f t="shared" si="1407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0.61108581251506344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0.8696209884734849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0.86984131984351143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6"/>
        <v>SPS1</v>
      </c>
      <c r="C1340" s="5" t="str">
        <f t="shared" si="1407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2.7307495272797899E-3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0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1.9279328706352115E-5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6"/>
        <v>SPS1</v>
      </c>
      <c r="C1341" s="5" t="str">
        <f t="shared" si="1407"/>
        <v>CH</v>
      </c>
      <c r="D1341" t="s">
        <v>1343</v>
      </c>
      <c r="E1341" t="s">
        <v>8</v>
      </c>
      <c r="F1341" s="1">
        <f>SUM(F1346:F1350)</f>
        <v>3.1691831597449257E-4</v>
      </c>
      <c r="G1341" s="1">
        <f t="shared" ref="G1341:K1341" si="1418">SUM(G1346:G1350)</f>
        <v>4.1387172302789272E-4</v>
      </c>
      <c r="H1341" s="1">
        <f t="shared" si="1418"/>
        <v>1.9951128579102667E-2</v>
      </c>
      <c r="I1341" s="1">
        <f t="shared" si="1418"/>
        <v>6.7942216315705499E-7</v>
      </c>
      <c r="J1341" s="1">
        <f t="shared" si="1418"/>
        <v>0</v>
      </c>
      <c r="K1341" s="1">
        <f t="shared" si="1418"/>
        <v>0</v>
      </c>
      <c r="L1341" s="1">
        <f t="shared" ref="L1341" si="1419">SUM(L1346:L1350)</f>
        <v>0</v>
      </c>
      <c r="N1341" s="1"/>
    </row>
    <row r="1342" spans="2:14" x14ac:dyDescent="0.35">
      <c r="B1342" s="5" t="str">
        <f t="shared" si="1406"/>
        <v>SPS1</v>
      </c>
      <c r="C1342" s="5" t="str">
        <f t="shared" si="1407"/>
        <v>CH</v>
      </c>
      <c r="D1342" t="s">
        <v>1344</v>
      </c>
      <c r="E1342" t="s">
        <v>8</v>
      </c>
      <c r="F1342" s="1">
        <f>IF(F1341-F1343&lt;0,0,F1341-F1343)</f>
        <v>2.9320104909773406E-4</v>
      </c>
      <c r="G1342" s="1">
        <f t="shared" ref="G1342:L1342" si="1420">IF(G1341-G1343&lt;0,0,G1341-G1343)</f>
        <v>3.7324199128425185E-4</v>
      </c>
      <c r="H1342" s="1">
        <f t="shared" si="1420"/>
        <v>1.8120067605687757E-2</v>
      </c>
      <c r="I1342" s="1">
        <f t="shared" si="1420"/>
        <v>6.5286035832003786E-7</v>
      </c>
      <c r="J1342" s="1">
        <f t="shared" si="1420"/>
        <v>0</v>
      </c>
      <c r="K1342" s="1">
        <f t="shared" si="1420"/>
        <v>0</v>
      </c>
      <c r="L1342" s="1">
        <f t="shared" si="1420"/>
        <v>0</v>
      </c>
      <c r="N1342" s="1"/>
    </row>
    <row r="1343" spans="2:14" x14ac:dyDescent="0.35">
      <c r="B1343" s="5" t="str">
        <f t="shared" si="1406"/>
        <v>SPS1</v>
      </c>
      <c r="C1343" s="5" t="str">
        <f t="shared" si="1407"/>
        <v>CH</v>
      </c>
      <c r="D1343" t="s">
        <v>1345</v>
      </c>
      <c r="E1343" t="s">
        <v>8</v>
      </c>
      <c r="F1343" s="1">
        <f>SUM(F1344:F1345)</f>
        <v>2.3717266876758502E-5</v>
      </c>
      <c r="G1343" s="1">
        <f t="shared" ref="G1343" si="1421">SUM(G1344:G1345)</f>
        <v>4.062973174364086E-5</v>
      </c>
      <c r="H1343" s="1">
        <f t="shared" ref="H1343" si="1422">SUM(H1344:H1345)</f>
        <v>1.831060973414909E-3</v>
      </c>
      <c r="I1343" s="1">
        <f t="shared" ref="I1343" si="1423">SUM(I1344:I1345)</f>
        <v>2.6561804837017107E-8</v>
      </c>
      <c r="J1343" s="1">
        <f t="shared" ref="J1343" si="1424">SUM(J1344:J1345)</f>
        <v>0</v>
      </c>
      <c r="K1343" s="1">
        <f t="shared" ref="K1343:L1343" si="1425">SUM(K1344:K1345)</f>
        <v>0</v>
      </c>
      <c r="L1343" s="1">
        <f t="shared" si="1425"/>
        <v>0</v>
      </c>
      <c r="N1343" s="1"/>
    </row>
    <row r="1344" spans="2:14" x14ac:dyDescent="0.35">
      <c r="B1344" s="5" t="str">
        <f t="shared" si="1406"/>
        <v>SPS1</v>
      </c>
      <c r="C1344" s="5" t="str">
        <f t="shared" si="1407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2.3717266876758502E-5</v>
      </c>
      <c r="G1344" s="1">
        <f>[1]Transport!C$27/SUM([1]Transport!C$24,[1]Transport!C$27)*G1341*(G$47+G$614)/(G$47+G$614+G$49)</f>
        <v>4.062973174364086E-5</v>
      </c>
      <c r="H1344" s="1">
        <f>[1]Transport!D$27/SUM([1]Transport!D$24,[1]Transport!D$27)*H1341*(H$47+H$614)/(H$47+H$614+H$49)</f>
        <v>1.831060973414909E-3</v>
      </c>
      <c r="I1344" s="1">
        <f>[1]Transport!E$27/SUM([1]Transport!E$24,[1]Transport!E$27)*I1341*(I$47+I$614)/(I$47+I$614+I$49)</f>
        <v>2.6561804837017107E-8</v>
      </c>
      <c r="J1344" s="1">
        <f>[2]Transport!F$27/SUM([2]Transport!F$24,[2]Transport!F$27)*J1341*(J$47+J$614)/(J$47+J$614+J$49)</f>
        <v>0</v>
      </c>
      <c r="K1344" s="1">
        <f>[2]Transport!G$27/SUM([2]Transport!G$24,[2]Transport!G$27)*K1341*(K$47+K$614)/(K$47+K$614+K$49)</f>
        <v>0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406"/>
        <v>SPS1</v>
      </c>
      <c r="C1345" s="5" t="str">
        <f t="shared" si="1407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0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6"/>
        <v>SPS1</v>
      </c>
      <c r="C1346" s="5" t="str">
        <f t="shared" si="1407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3.1691831597449257E-4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3.1703731276118408E-4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3.1601171693079684E-4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6"/>
        <v>SPS1</v>
      </c>
      <c r="C1347" s="5" t="str">
        <f t="shared" si="1407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5.5822031598798761E-5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3.4893262771444855E-4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0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406"/>
        <v>SPS1</v>
      </c>
      <c r="C1348" s="5" t="str">
        <f t="shared" si="1407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2.9117340425768286E-5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1.9154330899662019E-2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6"/>
        <v>SPS1</v>
      </c>
      <c r="C1349" s="5" t="str">
        <f t="shared" si="1407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1.1895038242141623E-5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1.3185333479540242E-4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6.7942216315705499E-7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6"/>
        <v>SPS1</v>
      </c>
      <c r="C1350" s="5" t="str">
        <f t="shared" si="1407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0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0.29537272433911166</v>
      </c>
      <c r="G1351" s="3">
        <f t="shared" ref="G1351:K1351" si="1426">SUM(G1352:G1374)</f>
        <v>0.30114724037046664</v>
      </c>
      <c r="H1351" s="3">
        <f t="shared" si="1426"/>
        <v>0.30907101307033052</v>
      </c>
      <c r="I1351" s="3">
        <f t="shared" si="1426"/>
        <v>0.32278696297761839</v>
      </c>
      <c r="J1351" s="3">
        <f t="shared" si="1426"/>
        <v>0.33687771971747149</v>
      </c>
      <c r="K1351" s="3">
        <f t="shared" si="1426"/>
        <v>0.3512094639382054</v>
      </c>
      <c r="L1351" s="3">
        <f t="shared" ref="L1351" si="1427">SUM(L1352:L1374)</f>
        <v>0.37570116018825522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2.0002679297283338E-3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1.6048441278206048E-3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1.0027726390878812E-3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8">B1352</f>
        <v>SPS1</v>
      </c>
      <c r="C1353" s="5" t="str">
        <f t="shared" ref="C1353:C1374" si="1429">C1352</f>
        <v>CH</v>
      </c>
      <c r="D1353" t="s">
        <v>1350</v>
      </c>
      <c r="E1353" t="str">
        <f t="shared" ref="E1353:E1374" si="1430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1.3871771594006989E-7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3.7302369468714878E-4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8.162563980251556E-4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0.10983276372356061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0.11462545886251772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0.11948829556642063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5.4072942426446252E-2</v>
      </c>
      <c r="N1353" s="1"/>
    </row>
    <row r="1354" spans="2:14" x14ac:dyDescent="0.35">
      <c r="B1354" s="5" t="str">
        <f t="shared" si="1428"/>
        <v>SPS1</v>
      </c>
      <c r="C1354" s="5" t="str">
        <f t="shared" si="1429"/>
        <v>CH</v>
      </c>
      <c r="D1354" t="s">
        <v>1351</v>
      </c>
      <c r="E1354" t="str">
        <f t="shared" si="1430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4.0395981701595479E-4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6.3040913327459943E-4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8.4994376226906648E-4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3.9620259407942546E-2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4.1355164084245062E-2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4.3109179937043961E-2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4.6118992164899897E-2</v>
      </c>
      <c r="N1354" s="1"/>
    </row>
    <row r="1355" spans="2:14" x14ac:dyDescent="0.35">
      <c r="B1355" s="5" t="str">
        <f t="shared" si="1428"/>
        <v>SPS1</v>
      </c>
      <c r="C1355" s="5" t="str">
        <f t="shared" si="1429"/>
        <v>CH</v>
      </c>
      <c r="D1355" t="s">
        <v>1352</v>
      </c>
      <c r="E1355" t="str">
        <f t="shared" si="1430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1.0359709852208185E-3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2.107864430161293E-3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2.1270489264796615E-3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9.0740214424851307E-2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7.6824698789127011E-2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6.6387466687705801E-2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0.14905197458160777</v>
      </c>
      <c r="N1355" s="1"/>
    </row>
    <row r="1356" spans="2:14" x14ac:dyDescent="0.35">
      <c r="B1356" s="5" t="str">
        <f t="shared" si="1428"/>
        <v>SPS1</v>
      </c>
      <c r="C1356" s="5" t="str">
        <f t="shared" si="1429"/>
        <v>CH</v>
      </c>
      <c r="D1356" t="s">
        <v>1353</v>
      </c>
      <c r="E1356" t="str">
        <f t="shared" si="1430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9.6706513972493786E-6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8.401996551761254E-6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1.1246556460085396E-5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1.9713306901173698E-6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1.1716980080592308E-6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9.4059755907119214E-7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8.4291830859944377E-7</v>
      </c>
      <c r="N1356" s="1"/>
    </row>
    <row r="1357" spans="2:14" x14ac:dyDescent="0.35">
      <c r="B1357" s="5" t="str">
        <f t="shared" si="1428"/>
        <v>SPS1</v>
      </c>
      <c r="C1357" s="5" t="str">
        <f t="shared" si="1429"/>
        <v>CH</v>
      </c>
      <c r="D1357" t="s">
        <v>1354</v>
      </c>
      <c r="E1357" t="str">
        <f t="shared" si="1430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7.5822197632521908E-8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8"/>
        <v>SPS1</v>
      </c>
      <c r="C1358" s="5" t="str">
        <f t="shared" si="1429"/>
        <v>CH</v>
      </c>
      <c r="D1358" t="s">
        <v>1355</v>
      </c>
      <c r="E1358" t="str">
        <f t="shared" si="1430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8"/>
        <v>SPS1</v>
      </c>
      <c r="C1359" s="5" t="str">
        <f t="shared" si="1429"/>
        <v>CH</v>
      </c>
      <c r="D1359" t="s">
        <v>1356</v>
      </c>
      <c r="E1359" t="str">
        <f t="shared" si="1430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7.5791175657496203E-8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8"/>
        <v>SPS1</v>
      </c>
      <c r="C1360" s="5" t="str">
        <f t="shared" si="1429"/>
        <v>CH</v>
      </c>
      <c r="D1360" t="s">
        <v>1357</v>
      </c>
      <c r="E1360" t="str">
        <f t="shared" si="1430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8"/>
        <v>SPS1</v>
      </c>
      <c r="C1361" s="5" t="str">
        <f t="shared" si="1429"/>
        <v>CH</v>
      </c>
      <c r="D1361" t="s">
        <v>1358</v>
      </c>
      <c r="E1361" t="str">
        <f t="shared" si="1430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3.4132088366209817E-2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3.416377688260009E-2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2.0325306011045868E-5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3.2302618832735594E-5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4.7434710869519594E-5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7.3800278468401148E-2</v>
      </c>
      <c r="N1361" s="1"/>
    </row>
    <row r="1362" spans="2:14" x14ac:dyDescent="0.35">
      <c r="B1362" s="5" t="str">
        <f t="shared" si="1428"/>
        <v>SPS1</v>
      </c>
      <c r="C1362" s="5" t="str">
        <f t="shared" si="1429"/>
        <v>CH</v>
      </c>
      <c r="D1362" t="s">
        <v>1359</v>
      </c>
      <c r="E1362" t="str">
        <f t="shared" si="1430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4.0012210918243492E-5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5.4219810261387699E-5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2.6902939670903176E-5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2.2511594073883147E-5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2.977216545270816E-5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2.7796754268930537E-5</v>
      </c>
      <c r="N1362" s="1"/>
    </row>
    <row r="1363" spans="2:14" x14ac:dyDescent="0.35">
      <c r="B1363" s="5" t="str">
        <f t="shared" si="1428"/>
        <v>SPS1</v>
      </c>
      <c r="C1363" s="5" t="str">
        <f t="shared" si="1429"/>
        <v>CH</v>
      </c>
      <c r="D1363" t="s">
        <v>1360</v>
      </c>
      <c r="E1363" t="str">
        <f t="shared" si="1430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2.2370177882139472E-3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4.6498445682507501E-2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8.2539310293134008E-2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0.10401641207066702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0.1221463742731537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5.2628332874322593E-2</v>
      </c>
      <c r="N1363" s="1"/>
    </row>
    <row r="1364" spans="2:14" x14ac:dyDescent="0.35">
      <c r="B1364" s="5" t="str">
        <f t="shared" si="1428"/>
        <v>SPS1</v>
      </c>
      <c r="C1364" s="5" t="str">
        <f t="shared" si="1429"/>
        <v>CH</v>
      </c>
      <c r="D1364" t="s">
        <v>1361</v>
      </c>
      <c r="E1364" t="str">
        <f t="shared" si="1430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0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0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8"/>
        <v>SPS1</v>
      </c>
      <c r="C1365" s="5" t="str">
        <f t="shared" si="1429"/>
        <v>CH</v>
      </c>
      <c r="D1365" t="s">
        <v>2001</v>
      </c>
      <c r="E1365" t="str">
        <f t="shared" si="1430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0.24221977894283864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0.19378287284498624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0.12111458980889132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8"/>
        <v>SPS1</v>
      </c>
      <c r="C1366" s="5" t="str">
        <f t="shared" si="1429"/>
        <v>CH</v>
      </c>
      <c r="D1366" t="s">
        <v>1362</v>
      </c>
      <c r="E1366" t="str">
        <f t="shared" si="1430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3.308244985912206E-5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2.622403828861115E-4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2.7832647581648891E-2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5.0236101768583088E-6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28"/>
        <v>SPS1</v>
      </c>
      <c r="C1367" s="5" t="str">
        <f t="shared" si="1429"/>
        <v>CH</v>
      </c>
      <c r="D1367" t="s">
        <v>1363</v>
      </c>
      <c r="E1367" t="str">
        <f t="shared" si="1430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9.7252558214827485E-3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1.1883038662334217E-2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2.0076317199409274E-2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8"/>
        <v>SPS1</v>
      </c>
      <c r="C1368" s="5" t="str">
        <f t="shared" si="1429"/>
        <v>CH</v>
      </c>
      <c r="D1368" t="s">
        <v>1364</v>
      </c>
      <c r="E1368" t="str">
        <f t="shared" si="1430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3.5412134394524439E-2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5.0528873594463612E-2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5.0542130690975594E-2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8"/>
        <v>SPS1</v>
      </c>
      <c r="C1369" s="5" t="str">
        <f t="shared" si="1429"/>
        <v>CH</v>
      </c>
      <c r="D1369" t="s">
        <v>1365</v>
      </c>
      <c r="E1369" t="str">
        <f t="shared" si="1430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1.0553386078116482E-4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0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7.4946294012063805E-7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8"/>
        <v>SPS1</v>
      </c>
      <c r="C1370" s="5" t="str">
        <f t="shared" si="1429"/>
        <v>CH</v>
      </c>
      <c r="D1370" t="s">
        <v>2005</v>
      </c>
      <c r="E1370" t="str">
        <f t="shared" si="1430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4.426930768547296E-3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3.5466951739758553E-3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2.2166544296587658E-3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8"/>
        <v>SPS1</v>
      </c>
      <c r="C1371" s="5" t="str">
        <f t="shared" si="1429"/>
        <v>CH</v>
      </c>
      <c r="D1371" t="s">
        <v>1366</v>
      </c>
      <c r="E1371" t="str">
        <f t="shared" si="1430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6.7119026267604095E-6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4.3801010248246218E-5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0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28"/>
        <v>SPS1</v>
      </c>
      <c r="C1372" s="5" t="str">
        <f t="shared" si="1429"/>
        <v>CH</v>
      </c>
      <c r="D1372" t="s">
        <v>1367</v>
      </c>
      <c r="E1372" t="str">
        <f t="shared" si="1430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2.4749179212293925E-6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1.7126554728049922E-3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8"/>
        <v>SPS1</v>
      </c>
      <c r="C1373" s="5" t="str">
        <f t="shared" si="1429"/>
        <v>CH</v>
      </c>
      <c r="D1373" t="s">
        <v>1368</v>
      </c>
      <c r="E1373" t="str">
        <f t="shared" si="1430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6.7114343522463391E-7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7.7567560625122881E-6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4.03282076970115E-8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8"/>
        <v>SPS1</v>
      </c>
      <c r="C1374" s="5" t="str">
        <f t="shared" si="1429"/>
        <v>CH</v>
      </c>
      <c r="D1374" t="s">
        <v>1369</v>
      </c>
      <c r="E1374" t="str">
        <f t="shared" si="1430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0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1">B1375</f>
        <v>SPS1</v>
      </c>
      <c r="C1376" s="5" t="str">
        <f t="shared" ref="C1376:C1398" si="1432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33">IFERROR(G1352/G1317,"-")</f>
        <v>3.3737507326839316</v>
      </c>
      <c r="H1376" s="1">
        <f t="shared" si="1433"/>
        <v>2.1484705100107924</v>
      </c>
      <c r="I1376" s="1" t="str">
        <f t="shared" si="1433"/>
        <v>-</v>
      </c>
      <c r="J1376" s="1" t="str">
        <f t="shared" si="1433"/>
        <v>-</v>
      </c>
      <c r="K1376" s="1" t="str">
        <f t="shared" si="1433"/>
        <v>-</v>
      </c>
      <c r="L1376" s="1" t="str">
        <f t="shared" ref="L1376" si="1434">IFERROR(L1352/L1317,"-")</f>
        <v>-</v>
      </c>
      <c r="N1376" s="1"/>
    </row>
    <row r="1377" spans="2:14" x14ac:dyDescent="0.35">
      <c r="B1377" s="5" t="str">
        <f t="shared" si="1431"/>
        <v>SPS1</v>
      </c>
      <c r="C1377" s="5" t="str">
        <f t="shared" si="1432"/>
        <v>CH</v>
      </c>
      <c r="D1377" t="s">
        <v>1372</v>
      </c>
      <c r="E1377" t="s">
        <v>1229</v>
      </c>
      <c r="F1377" s="1">
        <f t="shared" ref="F1377:K1377" si="1435">IFERROR(F1353/F1318,"-")</f>
        <v>0.37869321701871755</v>
      </c>
      <c r="G1377" s="1">
        <f t="shared" si="1435"/>
        <v>0.3924176476814964</v>
      </c>
      <c r="H1377" s="1">
        <f t="shared" si="1435"/>
        <v>0.4033999898516748</v>
      </c>
      <c r="I1377" s="1">
        <f t="shared" si="1435"/>
        <v>0.44732792091499984</v>
      </c>
      <c r="J1377" s="1">
        <f t="shared" si="1435"/>
        <v>0.47107664780175318</v>
      </c>
      <c r="K1377" s="1">
        <f t="shared" si="1435"/>
        <v>0.47276149100319209</v>
      </c>
      <c r="L1377" s="1">
        <f t="shared" ref="L1377" si="1436">IFERROR(L1353/L1318,"-")</f>
        <v>0.51471720283251576</v>
      </c>
      <c r="N1377" s="1"/>
    </row>
    <row r="1378" spans="2:14" x14ac:dyDescent="0.35">
      <c r="B1378" s="5" t="str">
        <f t="shared" si="1431"/>
        <v>SPS1</v>
      </c>
      <c r="C1378" s="5" t="str">
        <f t="shared" si="1432"/>
        <v>CH</v>
      </c>
      <c r="D1378" t="s">
        <v>1373</v>
      </c>
      <c r="E1378" t="s">
        <v>1229</v>
      </c>
      <c r="F1378" s="1">
        <f t="shared" ref="F1378:K1378" si="1437">IFERROR(F1354/F1319,"-")</f>
        <v>0.2751807049649066</v>
      </c>
      <c r="G1378" s="1">
        <f t="shared" si="1437"/>
        <v>0.27719473646067744</v>
      </c>
      <c r="H1378" s="1">
        <f t="shared" si="1437"/>
        <v>0.28270665478800577</v>
      </c>
      <c r="I1378" s="1">
        <f t="shared" si="1437"/>
        <v>0.32412067158559982</v>
      </c>
      <c r="J1378" s="1">
        <f t="shared" si="1437"/>
        <v>0.33978500821088703</v>
      </c>
      <c r="K1378" s="1">
        <f t="shared" si="1437"/>
        <v>0.34340340667767072</v>
      </c>
      <c r="L1378" s="1">
        <f t="shared" ref="L1378" si="1438">IFERROR(L1354/L1319,"-")</f>
        <v>0.38209184732680029</v>
      </c>
      <c r="N1378" s="1"/>
    </row>
    <row r="1379" spans="2:14" x14ac:dyDescent="0.35">
      <c r="B1379" s="5" t="str">
        <f t="shared" si="1431"/>
        <v>SPS1</v>
      </c>
      <c r="C1379" s="5" t="str">
        <f t="shared" si="1432"/>
        <v>CH</v>
      </c>
      <c r="D1379" t="s">
        <v>1374</v>
      </c>
      <c r="E1379" t="s">
        <v>1229</v>
      </c>
      <c r="F1379" s="1">
        <f t="shared" ref="F1379:K1379" si="1439">IFERROR(F1355/F1320,"-")</f>
        <v>0.18297040713439891</v>
      </c>
      <c r="G1379" s="1">
        <f t="shared" si="1439"/>
        <v>0.18409282652122938</v>
      </c>
      <c r="H1379" s="1">
        <f t="shared" si="1439"/>
        <v>0.18437187368369631</v>
      </c>
      <c r="I1379" s="1">
        <f t="shared" si="1439"/>
        <v>0.21565675420431044</v>
      </c>
      <c r="J1379" s="1">
        <f t="shared" si="1439"/>
        <v>0.21806234306748704</v>
      </c>
      <c r="K1379" s="1">
        <f t="shared" si="1439"/>
        <v>0.23650774765744223</v>
      </c>
      <c r="L1379" s="1">
        <f t="shared" ref="L1379" si="1440">IFERROR(L1355/L1320,"-")</f>
        <v>0.25914679413587183</v>
      </c>
      <c r="N1379" s="1"/>
    </row>
    <row r="1380" spans="2:14" x14ac:dyDescent="0.35">
      <c r="B1380" s="5" t="str">
        <f t="shared" si="1431"/>
        <v>SPS1</v>
      </c>
      <c r="C1380" s="5" t="str">
        <f t="shared" si="1432"/>
        <v>CH</v>
      </c>
      <c r="D1380" t="s">
        <v>1375</v>
      </c>
      <c r="E1380" t="s">
        <v>1229</v>
      </c>
      <c r="F1380" s="1">
        <f t="shared" ref="F1380:K1380" si="1441">IFERROR(F1356/F1321,"-")</f>
        <v>0.12198710645807108</v>
      </c>
      <c r="G1380" s="1">
        <f t="shared" si="1441"/>
        <v>0.12442766203687289</v>
      </c>
      <c r="H1380" s="1">
        <f t="shared" si="1441"/>
        <v>0.12793187274256301</v>
      </c>
      <c r="I1380" s="1">
        <f t="shared" si="1441"/>
        <v>0.14422302917473703</v>
      </c>
      <c r="J1380" s="1">
        <f t="shared" si="1441"/>
        <v>0.15203630835067847</v>
      </c>
      <c r="K1380" s="1">
        <f t="shared" si="1441"/>
        <v>0.15984958752661993</v>
      </c>
      <c r="L1380" s="1">
        <f t="shared" ref="L1380" si="1442">IFERROR(L1356/L1321,"-")</f>
        <v>0.17547614587850299</v>
      </c>
      <c r="N1380" s="1"/>
    </row>
    <row r="1381" spans="2:14" x14ac:dyDescent="0.35">
      <c r="B1381" s="5" t="str">
        <f t="shared" si="1431"/>
        <v>SPS1</v>
      </c>
      <c r="C1381" s="5" t="str">
        <f t="shared" si="1432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3">IFERROR(G1357/G1323,"-")</f>
        <v>-</v>
      </c>
      <c r="H1381" s="1" t="str">
        <f t="shared" si="1443"/>
        <v>-</v>
      </c>
      <c r="I1381" s="1">
        <f t="shared" si="1443"/>
        <v>0.23440176174444097</v>
      </c>
      <c r="J1381" s="1" t="str">
        <f t="shared" si="1443"/>
        <v>-</v>
      </c>
      <c r="K1381" s="1" t="str">
        <f t="shared" si="1443"/>
        <v>-</v>
      </c>
      <c r="L1381" s="1" t="str">
        <f t="shared" ref="L1381" si="1444">IFERROR(L1357/L1323,"-")</f>
        <v>-</v>
      </c>
      <c r="N1381" s="1"/>
    </row>
    <row r="1382" spans="2:14" x14ac:dyDescent="0.35">
      <c r="B1382" s="5" t="str">
        <f t="shared" si="1431"/>
        <v>SPS1</v>
      </c>
      <c r="C1382" s="5" t="str">
        <f t="shared" si="1432"/>
        <v>CH</v>
      </c>
      <c r="D1382" t="s">
        <v>1377</v>
      </c>
      <c r="E1382" t="s">
        <v>1229</v>
      </c>
      <c r="F1382" s="1" t="str">
        <f t="shared" ref="F1382:K1382" si="1445">IFERROR(F1358/F1324,"-")</f>
        <v>-</v>
      </c>
      <c r="G1382" s="1" t="str">
        <f t="shared" si="1445"/>
        <v>-</v>
      </c>
      <c r="H1382" s="1" t="str">
        <f t="shared" si="1445"/>
        <v>-</v>
      </c>
      <c r="I1382" s="1" t="str">
        <f t="shared" si="1445"/>
        <v>-</v>
      </c>
      <c r="J1382" s="1" t="str">
        <f t="shared" si="1445"/>
        <v>-</v>
      </c>
      <c r="K1382" s="1" t="str">
        <f t="shared" si="1445"/>
        <v>-</v>
      </c>
      <c r="L1382" s="1" t="str">
        <f t="shared" ref="L1382" si="1446">IFERROR(L1358/L1324,"-")</f>
        <v>-</v>
      </c>
      <c r="N1382" s="1"/>
    </row>
    <row r="1383" spans="2:14" x14ac:dyDescent="0.35">
      <c r="B1383" s="5" t="str">
        <f t="shared" si="1431"/>
        <v>SPS1</v>
      </c>
      <c r="C1383" s="5" t="str">
        <f t="shared" si="1432"/>
        <v>CH</v>
      </c>
      <c r="D1383" t="s">
        <v>1378</v>
      </c>
      <c r="E1383" t="s">
        <v>1229</v>
      </c>
      <c r="F1383" s="1" t="str">
        <f t="shared" ref="F1383:K1383" si="1447">IFERROR(F1359/F1325,"-")</f>
        <v>-</v>
      </c>
      <c r="G1383" s="1" t="str">
        <f t="shared" si="1447"/>
        <v>-</v>
      </c>
      <c r="H1383" s="1" t="str">
        <f t="shared" si="1447"/>
        <v>-</v>
      </c>
      <c r="I1383" s="1">
        <f t="shared" si="1447"/>
        <v>0.11310839137372299</v>
      </c>
      <c r="J1383" s="1" t="str">
        <f t="shared" si="1447"/>
        <v>-</v>
      </c>
      <c r="K1383" s="1" t="str">
        <f t="shared" si="1447"/>
        <v>-</v>
      </c>
      <c r="L1383" s="1" t="str">
        <f t="shared" ref="L1383" si="1448">IFERROR(L1359/L1325,"-")</f>
        <v>-</v>
      </c>
      <c r="N1383" s="1"/>
    </row>
    <row r="1384" spans="2:14" x14ac:dyDescent="0.35">
      <c r="B1384" s="5" t="str">
        <f t="shared" si="1431"/>
        <v>SPS1</v>
      </c>
      <c r="C1384" s="5" t="str">
        <f t="shared" si="1432"/>
        <v>CH</v>
      </c>
      <c r="D1384" t="s">
        <v>1379</v>
      </c>
      <c r="E1384" t="s">
        <v>1229</v>
      </c>
      <c r="F1384" s="1" t="str">
        <f t="shared" ref="F1384:K1384" si="1449">IFERROR(F1360/F1326,"-")</f>
        <v>-</v>
      </c>
      <c r="G1384" s="1" t="str">
        <f t="shared" si="1449"/>
        <v>-</v>
      </c>
      <c r="H1384" s="1" t="str">
        <f t="shared" si="1449"/>
        <v>-</v>
      </c>
      <c r="I1384" s="1" t="str">
        <f t="shared" si="1449"/>
        <v>-</v>
      </c>
      <c r="J1384" s="1" t="str">
        <f t="shared" si="1449"/>
        <v>-</v>
      </c>
      <c r="K1384" s="1" t="str">
        <f t="shared" si="1449"/>
        <v>-</v>
      </c>
      <c r="L1384" s="1" t="str">
        <f t="shared" ref="L1384" si="1450">IFERROR(L1360/L1326,"-")</f>
        <v>-</v>
      </c>
      <c r="N1384" s="1"/>
    </row>
    <row r="1385" spans="2:14" x14ac:dyDescent="0.35">
      <c r="B1385" s="5" t="str">
        <f t="shared" si="1431"/>
        <v>SPS1</v>
      </c>
      <c r="C1385" s="5" t="str">
        <f t="shared" si="1432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1">IFERROR(G1361/G1332,"-")</f>
        <v>0.16251369968883858</v>
      </c>
      <c r="H1385" s="1">
        <f t="shared" si="1451"/>
        <v>0.16252107641097413</v>
      </c>
      <c r="I1385" s="1">
        <f t="shared" si="1451"/>
        <v>0.1757985393057315</v>
      </c>
      <c r="J1385" s="1">
        <f t="shared" si="1451"/>
        <v>0.19207452454879048</v>
      </c>
      <c r="K1385" s="1">
        <f t="shared" si="1451"/>
        <v>0.19836432469294613</v>
      </c>
      <c r="L1385" s="1">
        <f t="shared" ref="L1385" si="1452">IFERROR(L1361/L1332,"-")</f>
        <v>0.22492829075298826</v>
      </c>
      <c r="N1385" s="1"/>
    </row>
    <row r="1386" spans="2:14" x14ac:dyDescent="0.35">
      <c r="B1386" s="5" t="str">
        <f t="shared" si="1431"/>
        <v>SPS1</v>
      </c>
      <c r="C1386" s="5" t="str">
        <f t="shared" si="1432"/>
        <v>CH</v>
      </c>
      <c r="D1386" t="s">
        <v>1381</v>
      </c>
      <c r="E1386" t="s">
        <v>1229</v>
      </c>
      <c r="F1386" s="1" t="str">
        <f t="shared" ref="F1386:K1386" si="1453">IFERROR(F1362/F1333,"-")</f>
        <v>-</v>
      </c>
      <c r="G1386" s="1">
        <f t="shared" si="1453"/>
        <v>0.11649393435744135</v>
      </c>
      <c r="H1386" s="1">
        <f t="shared" si="1453"/>
        <v>0.11793569864011932</v>
      </c>
      <c r="I1386" s="1">
        <f t="shared" si="1453"/>
        <v>0.12451896238614206</v>
      </c>
      <c r="J1386" s="1">
        <f t="shared" si="1453"/>
        <v>0.13644652644267177</v>
      </c>
      <c r="K1386" s="1">
        <f t="shared" si="1453"/>
        <v>0.14227607270363032</v>
      </c>
      <c r="L1386" s="1">
        <f t="shared" ref="L1386" si="1454">IFERROR(L1362/L1333,"-")</f>
        <v>0.15600533571998787</v>
      </c>
      <c r="N1386" s="1"/>
    </row>
    <row r="1387" spans="2:14" x14ac:dyDescent="0.35">
      <c r="B1387" s="5" t="str">
        <f t="shared" si="1431"/>
        <v>SPS1</v>
      </c>
      <c r="C1387" s="5" t="str">
        <f t="shared" si="1432"/>
        <v>CH</v>
      </c>
      <c r="D1387" t="s">
        <v>1382</v>
      </c>
      <c r="E1387" t="s">
        <v>1229</v>
      </c>
      <c r="F1387" s="1" t="str">
        <f t="shared" ref="F1387:K1387" si="1455">IFERROR(F1363/F1334,"-")</f>
        <v>-</v>
      </c>
      <c r="G1387" s="1">
        <f t="shared" si="1455"/>
        <v>7.8235828164578858E-2</v>
      </c>
      <c r="H1387" s="1">
        <f t="shared" si="1455"/>
        <v>8.2002697088337018E-2</v>
      </c>
      <c r="I1387" s="1">
        <f t="shared" si="1455"/>
        <v>8.4965243663709764E-2</v>
      </c>
      <c r="J1387" s="1">
        <f t="shared" si="1455"/>
        <v>9.2115519475348337E-2</v>
      </c>
      <c r="K1387" s="1">
        <f t="shared" si="1455"/>
        <v>9.5808068099146659E-2</v>
      </c>
      <c r="L1387" s="1">
        <f t="shared" ref="L1387" si="1456">IFERROR(L1363/L1334,"-")</f>
        <v>0.10510047691838909</v>
      </c>
      <c r="N1387" s="1"/>
    </row>
    <row r="1388" spans="2:14" x14ac:dyDescent="0.35">
      <c r="B1388" s="5" t="str">
        <f t="shared" si="1431"/>
        <v>SPS1</v>
      </c>
      <c r="C1388" s="5" t="str">
        <f t="shared" si="1432"/>
        <v>CH</v>
      </c>
      <c r="D1388" t="s">
        <v>1383</v>
      </c>
      <c r="E1388" t="s">
        <v>1229</v>
      </c>
      <c r="F1388" s="1" t="str">
        <f t="shared" ref="F1388:K1388" si="1457">IFERROR(F1364/F1335,"-")</f>
        <v>-</v>
      </c>
      <c r="G1388" s="1" t="str">
        <f t="shared" si="1457"/>
        <v>-</v>
      </c>
      <c r="H1388" s="1" t="str">
        <f t="shared" si="1457"/>
        <v>-</v>
      </c>
      <c r="I1388" s="1" t="str">
        <f t="shared" si="1457"/>
        <v>-</v>
      </c>
      <c r="J1388" s="1" t="str">
        <f t="shared" si="1457"/>
        <v>-</v>
      </c>
      <c r="K1388" s="1" t="str">
        <f t="shared" si="1457"/>
        <v>-</v>
      </c>
      <c r="L1388" s="1" t="str">
        <f t="shared" ref="L1388" si="1458">IFERROR(L1364/L1335,"-")</f>
        <v>-</v>
      </c>
      <c r="N1388" s="1"/>
    </row>
    <row r="1389" spans="2:14" x14ac:dyDescent="0.35">
      <c r="B1389" s="5" t="str">
        <f t="shared" si="1431"/>
        <v>SPS1</v>
      </c>
      <c r="C1389" s="5" t="str">
        <f t="shared" si="1432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59">IFERROR(G1365/G1336,"-")</f>
        <v>11.189596541502656</v>
      </c>
      <c r="H1389" s="1">
        <f t="shared" si="1459"/>
        <v>7.020970281426421</v>
      </c>
      <c r="I1389" s="1" t="str">
        <f t="shared" si="1459"/>
        <v>-</v>
      </c>
      <c r="J1389" s="1" t="str">
        <f t="shared" si="1459"/>
        <v>-</v>
      </c>
      <c r="K1389" s="1" t="str">
        <f t="shared" si="1459"/>
        <v>-</v>
      </c>
      <c r="L1389" s="1" t="str">
        <f t="shared" ref="L1389" si="1460">IFERROR(L1365/L1336,"-")</f>
        <v>-</v>
      </c>
      <c r="N1389" s="1"/>
    </row>
    <row r="1390" spans="2:14" x14ac:dyDescent="0.35">
      <c r="B1390" s="5" t="str">
        <f t="shared" si="1431"/>
        <v>SPS1</v>
      </c>
      <c r="C1390" s="5" t="str">
        <f t="shared" si="1432"/>
        <v>CH</v>
      </c>
      <c r="D1390" t="s">
        <v>1384</v>
      </c>
      <c r="E1390" t="s">
        <v>1229</v>
      </c>
      <c r="F1390" s="1">
        <f t="shared" ref="F1390:K1390" si="1461">IFERROR(F1366/F1337,"-")</f>
        <v>0.1239191674859752</v>
      </c>
      <c r="G1390" s="1">
        <f t="shared" si="1461"/>
        <v>0.12788880616280079</v>
      </c>
      <c r="H1390" s="1">
        <f t="shared" si="1461"/>
        <v>0.13533437150177474</v>
      </c>
      <c r="I1390" s="1">
        <f t="shared" si="1461"/>
        <v>0.12391916748597503</v>
      </c>
      <c r="J1390" s="1" t="str">
        <f t="shared" si="1461"/>
        <v>-</v>
      </c>
      <c r="K1390" s="1" t="str">
        <f t="shared" si="1461"/>
        <v>-</v>
      </c>
      <c r="L1390" s="1" t="str">
        <f t="shared" ref="L1390" si="1462">IFERROR(L1366/L1337,"-")</f>
        <v>-</v>
      </c>
      <c r="N1390" s="1"/>
    </row>
    <row r="1391" spans="2:14" x14ac:dyDescent="0.35">
      <c r="B1391" s="5" t="str">
        <f t="shared" si="1431"/>
        <v>SPS1</v>
      </c>
      <c r="C1391" s="5" t="str">
        <f t="shared" si="1432"/>
        <v>CH</v>
      </c>
      <c r="D1391" t="s">
        <v>1385</v>
      </c>
      <c r="E1391" t="s">
        <v>1229</v>
      </c>
      <c r="F1391" s="1">
        <f t="shared" ref="F1391:K1391" si="1463">IFERROR(F1367/F1338,"-")</f>
        <v>8.7465847585616666E-2</v>
      </c>
      <c r="G1391" s="1">
        <f t="shared" si="1463"/>
        <v>8.7782150109142601E-2</v>
      </c>
      <c r="H1391" s="1">
        <f t="shared" si="1463"/>
        <v>9.0647020136523718E-2</v>
      </c>
      <c r="I1391" s="1" t="str">
        <f t="shared" si="1463"/>
        <v>-</v>
      </c>
      <c r="J1391" s="1" t="str">
        <f t="shared" si="1463"/>
        <v>-</v>
      </c>
      <c r="K1391" s="1" t="str">
        <f t="shared" si="1463"/>
        <v>-</v>
      </c>
      <c r="L1391" s="1" t="str">
        <f t="shared" ref="L1391" si="1464">IFERROR(L1367/L1338,"-")</f>
        <v>-</v>
      </c>
      <c r="N1391" s="1"/>
    </row>
    <row r="1392" spans="2:14" x14ac:dyDescent="0.35">
      <c r="B1392" s="5" t="str">
        <f t="shared" si="1431"/>
        <v>SPS1</v>
      </c>
      <c r="C1392" s="5" t="str">
        <f t="shared" si="1432"/>
        <v>CH</v>
      </c>
      <c r="D1392" t="s">
        <v>1386</v>
      </c>
      <c r="E1392" t="s">
        <v>1229</v>
      </c>
      <c r="F1392" s="1">
        <f t="shared" ref="F1392:K1392" si="1465">IFERROR(F1368/F1339,"-")</f>
        <v>5.7949527986548566E-2</v>
      </c>
      <c r="G1392" s="1">
        <f t="shared" si="1465"/>
        <v>5.8104478001572819E-2</v>
      </c>
      <c r="H1392" s="1">
        <f t="shared" si="1465"/>
        <v>5.8105000921396054E-2</v>
      </c>
      <c r="I1392" s="1" t="str">
        <f t="shared" si="1465"/>
        <v>-</v>
      </c>
      <c r="J1392" s="1" t="str">
        <f t="shared" si="1465"/>
        <v>-</v>
      </c>
      <c r="K1392" s="1" t="str">
        <f t="shared" si="1465"/>
        <v>-</v>
      </c>
      <c r="L1392" s="1" t="str">
        <f t="shared" ref="L1392" si="1466">IFERROR(L1368/L1339,"-")</f>
        <v>-</v>
      </c>
      <c r="N1392" s="1"/>
    </row>
    <row r="1393" spans="2:14" x14ac:dyDescent="0.35">
      <c r="B1393" s="5" t="str">
        <f t="shared" si="1431"/>
        <v>SPS1</v>
      </c>
      <c r="C1393" s="5" t="str">
        <f t="shared" si="1432"/>
        <v>CH</v>
      </c>
      <c r="D1393" t="s">
        <v>1387</v>
      </c>
      <c r="E1393" t="s">
        <v>1229</v>
      </c>
      <c r="F1393" s="1">
        <f t="shared" ref="F1393:K1393" si="1467">IFERROR(F1369/F1340,"-")</f>
        <v>3.8646481387947497E-2</v>
      </c>
      <c r="G1393" s="1" t="str">
        <f t="shared" si="1467"/>
        <v>-</v>
      </c>
      <c r="H1393" s="1">
        <f t="shared" si="1467"/>
        <v>3.8873912652036817E-2</v>
      </c>
      <c r="I1393" s="1" t="str">
        <f t="shared" si="1467"/>
        <v>-</v>
      </c>
      <c r="J1393" s="1" t="str">
        <f t="shared" si="1467"/>
        <v>-</v>
      </c>
      <c r="K1393" s="1" t="str">
        <f t="shared" si="1467"/>
        <v>-</v>
      </c>
      <c r="L1393" s="1" t="str">
        <f t="shared" ref="L1393" si="1468">IFERROR(L1369/L1340,"-")</f>
        <v>-</v>
      </c>
      <c r="N1393" s="1"/>
    </row>
    <row r="1394" spans="2:14" x14ac:dyDescent="0.35">
      <c r="B1394" s="5" t="str">
        <f t="shared" si="1431"/>
        <v>SPS1</v>
      </c>
      <c r="C1394" s="5" t="str">
        <f t="shared" si="1432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469">IFERROR(G1370/G1346,"-")</f>
        <v>11.186996076539067</v>
      </c>
      <c r="H1394" s="1">
        <f t="shared" si="1469"/>
        <v>7.0144691190174733</v>
      </c>
      <c r="I1394" s="1" t="str">
        <f t="shared" si="1469"/>
        <v>-</v>
      </c>
      <c r="J1394" s="1" t="str">
        <f t="shared" si="1469"/>
        <v>-</v>
      </c>
      <c r="K1394" s="1" t="str">
        <f t="shared" si="1469"/>
        <v>-</v>
      </c>
      <c r="L1394" s="1" t="str">
        <f t="shared" ref="L1394" si="1470">IFERROR(L1370/L1346,"-")</f>
        <v>-</v>
      </c>
      <c r="N1394" s="1"/>
    </row>
    <row r="1395" spans="2:14" x14ac:dyDescent="0.35">
      <c r="B1395" s="5" t="str">
        <f t="shared" si="1431"/>
        <v>SPS1</v>
      </c>
      <c r="C1395" s="5" t="str">
        <f t="shared" si="1432"/>
        <v>CH</v>
      </c>
      <c r="D1395" t="s">
        <v>1388</v>
      </c>
      <c r="E1395" t="s">
        <v>1229</v>
      </c>
      <c r="F1395" s="1" t="str">
        <f t="shared" ref="F1395:K1395" si="1471">IFERROR(F1371/F1347,"-")</f>
        <v>-</v>
      </c>
      <c r="G1395" s="1">
        <f t="shared" si="1471"/>
        <v>0.12023751974847227</v>
      </c>
      <c r="H1395" s="1">
        <f t="shared" si="1471"/>
        <v>0.12552855986884404</v>
      </c>
      <c r="I1395" s="1" t="str">
        <f t="shared" si="1471"/>
        <v>-</v>
      </c>
      <c r="J1395" s="1" t="str">
        <f t="shared" si="1471"/>
        <v>-</v>
      </c>
      <c r="K1395" s="1" t="str">
        <f t="shared" si="1471"/>
        <v>-</v>
      </c>
      <c r="L1395" s="1" t="str">
        <f t="shared" ref="L1395" si="1472">IFERROR(L1371/L1347,"-")</f>
        <v>-</v>
      </c>
      <c r="N1395" s="1"/>
    </row>
    <row r="1396" spans="2:14" x14ac:dyDescent="0.35">
      <c r="B1396" s="5" t="str">
        <f t="shared" si="1431"/>
        <v>SPS1</v>
      </c>
      <c r="C1396" s="5" t="str">
        <f t="shared" si="1432"/>
        <v>CH</v>
      </c>
      <c r="D1396" t="s">
        <v>1389</v>
      </c>
      <c r="E1396" t="s">
        <v>1229</v>
      </c>
      <c r="F1396" s="1" t="str">
        <f t="shared" ref="F1396:K1396" si="1473">IFERROR(F1372/F1348,"-")</f>
        <v>-</v>
      </c>
      <c r="G1396" s="1">
        <f t="shared" si="1473"/>
        <v>8.4998076233608819E-2</v>
      </c>
      <c r="H1396" s="1">
        <f t="shared" si="1473"/>
        <v>8.9413484698398535E-2</v>
      </c>
      <c r="I1396" s="1" t="str">
        <f t="shared" si="1473"/>
        <v>-</v>
      </c>
      <c r="J1396" s="1" t="str">
        <f t="shared" si="1473"/>
        <v>-</v>
      </c>
      <c r="K1396" s="1" t="str">
        <f t="shared" si="1473"/>
        <v>-</v>
      </c>
      <c r="L1396" s="1" t="str">
        <f t="shared" ref="L1396" si="1474">IFERROR(L1372/L1348,"-")</f>
        <v>-</v>
      </c>
      <c r="N1396" s="1"/>
    </row>
    <row r="1397" spans="2:14" x14ac:dyDescent="0.35">
      <c r="B1397" s="5" t="str">
        <f t="shared" si="1431"/>
        <v>SPS1</v>
      </c>
      <c r="C1397" s="5" t="str">
        <f t="shared" si="1432"/>
        <v>CH</v>
      </c>
      <c r="D1397" t="s">
        <v>1390</v>
      </c>
      <c r="E1397" t="s">
        <v>1229</v>
      </c>
      <c r="F1397" s="1" t="str">
        <f t="shared" ref="F1397:K1397" si="1475">IFERROR(F1373/F1349,"-")</f>
        <v>-</v>
      </c>
      <c r="G1397" s="1">
        <f t="shared" si="1475"/>
        <v>5.642213346123711E-2</v>
      </c>
      <c r="H1397" s="1">
        <f t="shared" si="1475"/>
        <v>5.8828668038988105E-2</v>
      </c>
      <c r="I1397" s="1">
        <f t="shared" si="1475"/>
        <v>5.93566266805595E-2</v>
      </c>
      <c r="J1397" s="1" t="str">
        <f t="shared" si="1475"/>
        <v>-</v>
      </c>
      <c r="K1397" s="1" t="str">
        <f t="shared" si="1475"/>
        <v>-</v>
      </c>
      <c r="L1397" s="1" t="str">
        <f t="shared" ref="L1397" si="1476">IFERROR(L1373/L1349,"-")</f>
        <v>-</v>
      </c>
      <c r="N1397" s="1"/>
    </row>
    <row r="1398" spans="2:14" x14ac:dyDescent="0.35">
      <c r="B1398" s="5" t="str">
        <f t="shared" si="1431"/>
        <v>SPS1</v>
      </c>
      <c r="C1398" s="5" t="str">
        <f t="shared" si="1432"/>
        <v>CH</v>
      </c>
      <c r="D1398" t="s">
        <v>1391</v>
      </c>
      <c r="E1398" t="s">
        <v>1229</v>
      </c>
      <c r="F1398" s="1" t="str">
        <f t="shared" ref="F1398:K1398" si="1477">IFERROR(F1374/F1350,"-")</f>
        <v>-</v>
      </c>
      <c r="G1398" s="1" t="str">
        <f t="shared" si="1477"/>
        <v>-</v>
      </c>
      <c r="H1398" s="1" t="str">
        <f t="shared" si="1477"/>
        <v>-</v>
      </c>
      <c r="I1398" s="1" t="str">
        <f t="shared" si="1477"/>
        <v>-</v>
      </c>
      <c r="J1398" s="1" t="str">
        <f t="shared" si="1477"/>
        <v>-</v>
      </c>
      <c r="K1398" s="1" t="str">
        <f t="shared" si="1477"/>
        <v>-</v>
      </c>
      <c r="L1398" s="1" t="str">
        <f t="shared" ref="L1398" si="1478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0.80845950770930741</v>
      </c>
      <c r="G1399" s="3">
        <f t="shared" ref="G1399" si="1479">G1400+G1406+G1411+G1425</f>
        <v>0.84201472136105548</v>
      </c>
      <c r="H1399" s="3">
        <f t="shared" ref="H1399" si="1480">H1400+H1406+H1411+H1425</f>
        <v>1.0097387375160651</v>
      </c>
      <c r="I1399" s="3">
        <f t="shared" ref="I1399" si="1481">I1400+I1406+I1411+I1425</f>
        <v>0.62143291912277565</v>
      </c>
      <c r="J1399" s="3">
        <f t="shared" ref="J1399" si="1482">J1400+J1406+J1411+J1425</f>
        <v>0.61701632525747052</v>
      </c>
      <c r="K1399" s="3">
        <f t="shared" ref="K1399:L1399" si="1483">K1400+K1406+K1411+K1425</f>
        <v>0.54953014814684142</v>
      </c>
      <c r="L1399" s="3">
        <f t="shared" si="1483"/>
        <v>0.45544795365527624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2.3618032803568488E-3</v>
      </c>
      <c r="G1400" s="1">
        <f t="shared" ref="G1400" si="1484">SUM(G1401:G1405)</f>
        <v>3.8582500395671865E-3</v>
      </c>
      <c r="H1400" s="1">
        <f t="shared" ref="H1400" si="1485">SUM(H1401:H1405)</f>
        <v>3.9819696954325372E-3</v>
      </c>
      <c r="I1400" s="1">
        <f t="shared" ref="I1400" si="1486">SUM(I1401:I1405)</f>
        <v>0.21468365379476073</v>
      </c>
      <c r="J1400" s="1">
        <f t="shared" ref="J1400" si="1487">SUM(J1401:J1405)</f>
        <v>0.20547543117400258</v>
      </c>
      <c r="K1400" s="1">
        <f t="shared" ref="K1400:L1400" si="1488">SUM(K1401:K1405)</f>
        <v>0.21127770614822736</v>
      </c>
      <c r="L1400" s="1">
        <f t="shared" si="1488"/>
        <v>0.21665354070135903</v>
      </c>
      <c r="N1400" s="1"/>
    </row>
    <row r="1401" spans="2:14" x14ac:dyDescent="0.35">
      <c r="B1401" s="5" t="str">
        <f t="shared" ref="B1401:B1434" si="1489">B1400</f>
        <v>SPS1</v>
      </c>
      <c r="C1401" s="5" t="str">
        <f t="shared" ref="C1401:C1434" si="1490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89"/>
        <v>SPS1</v>
      </c>
      <c r="C1402" s="5" t="str">
        <f t="shared" si="1490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4.1006209874996344E-4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8.7242349075469555E-4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8.1300033119696474E-4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0.14452453550198582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0.13162703199292536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8.5531478024214069E-2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4.4854347465561301E-2</v>
      </c>
      <c r="N1402" s="1"/>
    </row>
    <row r="1403" spans="2:14" x14ac:dyDescent="0.35">
      <c r="B1403" s="5" t="str">
        <f t="shared" si="1489"/>
        <v>SPS1</v>
      </c>
      <c r="C1403" s="5" t="str">
        <f t="shared" si="1490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1.5980531832089182E-3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2.1362121886500792E-3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2.2533216617448655E-3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6.9527367291210979E-2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7.3427840665589703E-2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0.12506009316642899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0.13804872189762338</v>
      </c>
      <c r="N1403" s="1"/>
    </row>
    <row r="1404" spans="2:14" x14ac:dyDescent="0.35">
      <c r="B1404" s="5" t="str">
        <f t="shared" si="1489"/>
        <v>SPS1</v>
      </c>
      <c r="C1404" s="5" t="str">
        <f t="shared" si="1490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3.5368799839796715E-4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8.2768741452316256E-4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8.7916250479403238E-4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6.112284327403671E-4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4.1055212412247175E-4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6.7069007517894525E-4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3.3747347749116141E-2</v>
      </c>
      <c r="N1404" s="1"/>
    </row>
    <row r="1405" spans="2:14" x14ac:dyDescent="0.35">
      <c r="B1405" s="5" t="str">
        <f t="shared" si="1489"/>
        <v>SPS1</v>
      </c>
      <c r="C1405" s="5" t="str">
        <f t="shared" si="1490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2.1926945639249644E-5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3.6485197696673973E-5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2.0522568823553507E-5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1.0006391365043016E-5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1.5444882405338217E-5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3.1235890582072537E-6</v>
      </c>
      <c r="N1405" s="1"/>
    </row>
    <row r="1406" spans="2:14" x14ac:dyDescent="0.35">
      <c r="B1406" s="5" t="str">
        <f t="shared" si="1489"/>
        <v>SPS1</v>
      </c>
      <c r="C1406" s="5" t="str">
        <f t="shared" si="1490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1">SUM(G1407:G1410)</f>
        <v>0</v>
      </c>
      <c r="H1406" s="1">
        <f t="shared" ref="H1406" si="1492">SUM(H1407:H1410)</f>
        <v>0</v>
      </c>
      <c r="I1406" s="1">
        <f t="shared" ref="I1406" si="1493">SUM(I1407:I1410)</f>
        <v>0</v>
      </c>
      <c r="J1406" s="1">
        <f t="shared" ref="J1406" si="1494">SUM(J1407:J1410)</f>
        <v>0</v>
      </c>
      <c r="K1406" s="1">
        <f t="shared" ref="K1406:L1406" si="1495">SUM(K1407:K1410)</f>
        <v>0</v>
      </c>
      <c r="L1406" s="1">
        <f t="shared" si="1495"/>
        <v>0</v>
      </c>
      <c r="N1406" s="1"/>
    </row>
    <row r="1407" spans="2:14" x14ac:dyDescent="0.35">
      <c r="B1407" s="5" t="str">
        <f t="shared" si="1489"/>
        <v>SPS1</v>
      </c>
      <c r="C1407" s="5" t="str">
        <f t="shared" si="1490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89"/>
        <v>SPS1</v>
      </c>
      <c r="C1408" s="5" t="str">
        <f t="shared" si="1490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89"/>
        <v>SPS1</v>
      </c>
      <c r="C1409" s="5" t="str">
        <f t="shared" si="1490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89"/>
        <v>SPS1</v>
      </c>
      <c r="C1410" s="5" t="str">
        <f t="shared" si="1490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89"/>
        <v>SPS1</v>
      </c>
      <c r="C1411" s="5" t="str">
        <f t="shared" si="1490"/>
        <v>CH</v>
      </c>
      <c r="D1411" t="s">
        <v>1406</v>
      </c>
      <c r="E1411" t="s">
        <v>8</v>
      </c>
      <c r="F1411" s="1">
        <f>SUM(F1416:F1424)</f>
        <v>0.80595962013140543</v>
      </c>
      <c r="G1411" s="1">
        <f t="shared" ref="G1411:K1411" si="1496">SUM(G1416:G1424)</f>
        <v>0.83792971000995231</v>
      </c>
      <c r="H1411" s="1">
        <f t="shared" si="1496"/>
        <v>1.0050982124705423</v>
      </c>
      <c r="I1411" s="1">
        <f t="shared" si="1496"/>
        <v>0.40674926532801498</v>
      </c>
      <c r="J1411" s="1">
        <f t="shared" si="1496"/>
        <v>0.41154089408346795</v>
      </c>
      <c r="K1411" s="1">
        <f t="shared" si="1496"/>
        <v>0.3382524419986141</v>
      </c>
      <c r="L1411" s="1">
        <f t="shared" ref="L1411" si="1497">SUM(L1416:L1424)</f>
        <v>0.23879441295391718</v>
      </c>
      <c r="N1411" s="1"/>
    </row>
    <row r="1412" spans="2:14" x14ac:dyDescent="0.35">
      <c r="B1412" s="5" t="str">
        <f t="shared" si="1489"/>
        <v>SPS1</v>
      </c>
      <c r="C1412" s="5" t="str">
        <f t="shared" si="1490"/>
        <v>CH</v>
      </c>
      <c r="D1412" t="s">
        <v>1407</v>
      </c>
      <c r="E1412" t="s">
        <v>8</v>
      </c>
      <c r="F1412" s="1">
        <f>IF(F1411-F1413&lt;0,0,F1411-F1413)</f>
        <v>0.78579645276294541</v>
      </c>
      <c r="G1412" s="1">
        <f t="shared" ref="G1412:L1412" si="1498">IF(G1411-G1413&lt;0,0,G1411-G1413)</f>
        <v>0.81609265873576986</v>
      </c>
      <c r="H1412" s="1">
        <f t="shared" si="1498"/>
        <v>0.95999114177531408</v>
      </c>
      <c r="I1412" s="1">
        <f t="shared" si="1498"/>
        <v>0.38858285559827366</v>
      </c>
      <c r="J1412" s="1">
        <f t="shared" si="1498"/>
        <v>0.39497489096080562</v>
      </c>
      <c r="K1412" s="1">
        <f t="shared" si="1498"/>
        <v>0.3246116810732918</v>
      </c>
      <c r="L1412" s="1">
        <f t="shared" si="1498"/>
        <v>0.22798525379039866</v>
      </c>
      <c r="N1412" s="1"/>
    </row>
    <row r="1413" spans="2:14" x14ac:dyDescent="0.35">
      <c r="B1413" s="5" t="str">
        <f t="shared" si="1489"/>
        <v>SPS1</v>
      </c>
      <c r="C1413" s="5" t="str">
        <f t="shared" si="1490"/>
        <v>CH</v>
      </c>
      <c r="D1413" t="s">
        <v>1408</v>
      </c>
      <c r="E1413" t="s">
        <v>8</v>
      </c>
      <c r="F1413" s="1">
        <f>SUM(F1414:F1415)</f>
        <v>2.0163167368459974E-2</v>
      </c>
      <c r="G1413" s="1">
        <f t="shared" ref="G1413" si="1499">SUM(G1414:G1415)</f>
        <v>2.1837051274182465E-2</v>
      </c>
      <c r="H1413" s="1">
        <f t="shared" ref="H1413" si="1500">SUM(H1414:H1415)</f>
        <v>4.5107070695228201E-2</v>
      </c>
      <c r="I1413" s="1">
        <f t="shared" ref="I1413" si="1501">SUM(I1414:I1415)</f>
        <v>1.816640972974131E-2</v>
      </c>
      <c r="J1413" s="1">
        <f t="shared" ref="J1413" si="1502">SUM(J1414:J1415)</f>
        <v>1.6566003122662331E-2</v>
      </c>
      <c r="K1413" s="1">
        <f t="shared" ref="K1413:L1413" si="1503">SUM(K1414:K1415)</f>
        <v>1.364076092532227E-2</v>
      </c>
      <c r="L1413" s="1">
        <f t="shared" si="1503"/>
        <v>1.0809159163518522E-2</v>
      </c>
      <c r="N1413" s="1"/>
    </row>
    <row r="1414" spans="2:14" x14ac:dyDescent="0.35">
      <c r="B1414" s="5" t="str">
        <f t="shared" si="1489"/>
        <v>SPS1</v>
      </c>
      <c r="C1414" s="5" t="str">
        <f t="shared" si="1490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2.0163167368459974E-2</v>
      </c>
      <c r="G1414" s="1">
        <f>[1]Transport!C$26/SUM([1]Transport!C$22,[1]Transport!C$26)*G1411*(G$34+G$582)/(G$34+G$582+G$38)</f>
        <v>2.1837051274182465E-2</v>
      </c>
      <c r="H1414" s="1">
        <f>[1]Transport!D$26/SUM([1]Transport!D$22,[1]Transport!D$26)*H1411*(H$34+H$582)/(H$34+H$582+H$38)</f>
        <v>4.5107070695228201E-2</v>
      </c>
      <c r="I1414" s="1">
        <f>[1]Transport!E$26/SUM([1]Transport!E$22,[1]Transport!E$26)*I1411*(I$34+I$582)/(I$34+I$582+I$38)</f>
        <v>1.816640972974131E-2</v>
      </c>
      <c r="J1414" s="1">
        <f>[2]Transport!F$26/SUM([2]Transport!F$22,[2]Transport!F$26)*J1411*(J$34+J$582)/(J$34+J$582+J$38)</f>
        <v>1.6566003122662331E-2</v>
      </c>
      <c r="K1414" s="1">
        <f>[2]Transport!G$26/SUM([2]Transport!G$22,[2]Transport!G$26)*K1411*(K$34+K$582)/(K$34+K$582+K$38)</f>
        <v>1.364076092532227E-2</v>
      </c>
      <c r="L1414" s="1">
        <f>[2]Transport!H$26/SUM([2]Transport!H$22,[2]Transport!H$26)*L1411*(L$34+L$582)/(L$34+L$582+L$38)</f>
        <v>1.0809159163518522E-2</v>
      </c>
      <c r="N1414" s="1"/>
    </row>
    <row r="1415" spans="2:14" x14ac:dyDescent="0.35">
      <c r="B1415" s="5" t="str">
        <f t="shared" si="1489"/>
        <v>SPS1</v>
      </c>
      <c r="C1415" s="5" t="str">
        <f t="shared" si="1490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</v>
      </c>
      <c r="N1415" s="1"/>
    </row>
    <row r="1416" spans="2:14" x14ac:dyDescent="0.35">
      <c r="B1416" s="5" t="str">
        <f t="shared" si="1489"/>
        <v>SPS1</v>
      </c>
      <c r="C1416" s="5" t="str">
        <f t="shared" si="1490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2.6586566152188118E-3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2.8702651638815154E-3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4.8569114254573364E-4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2.0250484298111292E-2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0.1213571327864863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0.18069676367168228</v>
      </c>
      <c r="N1416" s="1"/>
    </row>
    <row r="1417" spans="2:14" x14ac:dyDescent="0.35">
      <c r="B1417" s="5" t="str">
        <f t="shared" si="1489"/>
        <v>SPS1</v>
      </c>
      <c r="C1417" s="5" t="str">
        <f t="shared" si="1490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1.6185825672894509E-4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6.2944290518806442E-2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0.26910052711643589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0.25565525968961916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9.2220915256257391E-2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2.634923156543956E-2</v>
      </c>
      <c r="N1417" s="1"/>
    </row>
    <row r="1418" spans="2:14" x14ac:dyDescent="0.35">
      <c r="B1418" s="5" t="str">
        <f t="shared" si="1489"/>
        <v>SPS1</v>
      </c>
      <c r="C1418" s="5" t="str">
        <f t="shared" si="1490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1.0109093957214246E-4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3.7976024822860104E-3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0.13716236096582204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0.13563515009573751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0.12467439395587039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3.174841771679536E-2</v>
      </c>
      <c r="N1418" s="1"/>
    </row>
    <row r="1419" spans="2:14" x14ac:dyDescent="0.35">
      <c r="B1419" s="5" t="str">
        <f t="shared" si="1489"/>
        <v>SPS1</v>
      </c>
      <c r="C1419" s="5" t="str">
        <f t="shared" si="1490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1.6464181171022282E-6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4.1839956548336759E-6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6.8610321132282097E-7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89"/>
        <v>SPS1</v>
      </c>
      <c r="C1420" s="5" t="str">
        <f t="shared" si="1490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6.0284054559699256E-3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6.0132794579021058E-3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5.9694863009311832E-3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89"/>
        <v>SPS1</v>
      </c>
      <c r="C1421" s="5" t="str">
        <f t="shared" si="1490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0.11351927366804251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0.30770355501881519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0.37651715314243267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89"/>
        <v>SPS1</v>
      </c>
      <c r="C1422" s="5" t="str">
        <f t="shared" si="1490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0.51966274584757577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0.39448322727181573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0.401055274110033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89"/>
        <v>SPS1</v>
      </c>
      <c r="C1423" s="5" t="str">
        <f t="shared" si="1490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0.1542093149920131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0.12680639603178218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0.15192268146059132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89"/>
        <v>SPS1</v>
      </c>
      <c r="C1424" s="5" t="str">
        <f t="shared" si="1490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1.2539880167804156E-2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0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1.727529592541557E-5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89"/>
        <v>SPS1</v>
      </c>
      <c r="C1425" s="5" t="str">
        <f t="shared" si="1490"/>
        <v>CH</v>
      </c>
      <c r="D1425" t="s">
        <v>1419</v>
      </c>
      <c r="E1425" t="s">
        <v>8</v>
      </c>
      <c r="F1425" s="1">
        <f>SUM(F1430:F1434)</f>
        <v>1.3808429754510126E-4</v>
      </c>
      <c r="G1425" s="1">
        <f t="shared" ref="G1425" si="1504">SUM(G1430:G1434)</f>
        <v>2.2676131153601754E-4</v>
      </c>
      <c r="H1425" s="1">
        <f t="shared" ref="H1425" si="1505">SUM(H1430:H1434)</f>
        <v>6.585553500901793E-4</v>
      </c>
      <c r="I1425" s="1">
        <f t="shared" ref="I1425" si="1506">SUM(I1430:I1434)</f>
        <v>0</v>
      </c>
      <c r="J1425" s="1">
        <f t="shared" ref="J1425" si="1507">SUM(J1430:J1434)</f>
        <v>0</v>
      </c>
      <c r="K1425" s="1">
        <f t="shared" ref="K1425:L1425" si="1508">SUM(K1430:K1434)</f>
        <v>0</v>
      </c>
      <c r="L1425" s="1">
        <f t="shared" si="1508"/>
        <v>0</v>
      </c>
      <c r="N1425" s="1"/>
    </row>
    <row r="1426" spans="2:14" x14ac:dyDescent="0.35">
      <c r="B1426" s="5" t="str">
        <f t="shared" si="1489"/>
        <v>SPS1</v>
      </c>
      <c r="C1426" s="5" t="str">
        <f t="shared" si="1490"/>
        <v>CH</v>
      </c>
      <c r="D1426" t="s">
        <v>1420</v>
      </c>
      <c r="E1426" t="s">
        <v>8</v>
      </c>
      <c r="F1426" s="1">
        <f>IF(F1425-F1427&lt;0,0,F1425-F1427)</f>
        <v>1.2775046080771785E-4</v>
      </c>
      <c r="G1426" s="1">
        <f t="shared" ref="G1426:L1426" si="1509">IF(G1425-G1427&lt;0,0,G1425-G1427)</f>
        <v>2.0450018388482104E-4</v>
      </c>
      <c r="H1426" s="1">
        <f t="shared" si="1509"/>
        <v>5.9811490956057623E-4</v>
      </c>
      <c r="I1426" s="1">
        <f t="shared" si="1509"/>
        <v>0</v>
      </c>
      <c r="J1426" s="1">
        <f t="shared" si="1509"/>
        <v>0</v>
      </c>
      <c r="K1426" s="1">
        <f t="shared" si="1509"/>
        <v>0</v>
      </c>
      <c r="L1426" s="1">
        <f t="shared" si="1509"/>
        <v>0</v>
      </c>
      <c r="N1426" s="1"/>
    </row>
    <row r="1427" spans="2:14" x14ac:dyDescent="0.35">
      <c r="B1427" s="5" t="str">
        <f t="shared" si="1489"/>
        <v>SPS1</v>
      </c>
      <c r="C1427" s="5" t="str">
        <f t="shared" si="1490"/>
        <v>CH</v>
      </c>
      <c r="D1427" t="s">
        <v>1421</v>
      </c>
      <c r="E1427" t="s">
        <v>8</v>
      </c>
      <c r="F1427" s="1">
        <f>SUM(F1428:F1429)</f>
        <v>1.0333836737383408E-5</v>
      </c>
      <c r="G1427" s="1">
        <f t="shared" ref="G1427" si="1510">SUM(G1428:G1429)</f>
        <v>2.2261127651196511E-5</v>
      </c>
      <c r="H1427" s="1">
        <f t="shared" ref="H1427" si="1511">SUM(H1428:H1429)</f>
        <v>6.0440440529603116E-5</v>
      </c>
      <c r="I1427" s="1">
        <f t="shared" ref="I1427" si="1512">SUM(I1428:I1429)</f>
        <v>0</v>
      </c>
      <c r="J1427" s="1">
        <f t="shared" ref="J1427" si="1513">SUM(J1428:J1429)</f>
        <v>0</v>
      </c>
      <c r="K1427" s="1">
        <f t="shared" ref="K1427:L1427" si="1514">SUM(K1428:K1429)</f>
        <v>0</v>
      </c>
      <c r="L1427" s="1">
        <f t="shared" si="1514"/>
        <v>0</v>
      </c>
      <c r="N1427" s="1"/>
    </row>
    <row r="1428" spans="2:14" x14ac:dyDescent="0.35">
      <c r="B1428" s="5" t="str">
        <f t="shared" si="1489"/>
        <v>SPS1</v>
      </c>
      <c r="C1428" s="5" t="str">
        <f t="shared" si="1490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1.0333836737383408E-5</v>
      </c>
      <c r="G1428" s="1">
        <f>[1]Transport!C$27/SUM([1]Transport!C$24,[1]Transport!C$27)*G1425*(G$47+G$614)/(G$47+G$614+G$49)</f>
        <v>2.2261127651196511E-5</v>
      </c>
      <c r="H1428" s="1">
        <f>[1]Transport!D$27/SUM([1]Transport!D$24,[1]Transport!D$27)*H1425*(H$47+H$614)/(H$47+H$614+H$49)</f>
        <v>6.0440440529603116E-5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89"/>
        <v>SPS1</v>
      </c>
      <c r="C1429" s="5" t="str">
        <f t="shared" si="1490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89"/>
        <v>SPS1</v>
      </c>
      <c r="C1430" s="5" t="str">
        <f t="shared" si="1490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1.3808429754510126E-4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1.3756229190803917E-4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1.3656497470851268E-4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89"/>
        <v>SPS1</v>
      </c>
      <c r="C1431" s="5" t="str">
        <f t="shared" si="1490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4.9961597969117362E-5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2.3819934200076449E-4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89"/>
        <v>SPS1</v>
      </c>
      <c r="C1432" s="5" t="str">
        <f t="shared" si="1490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2.3221869559247504E-5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1.727130671118581E-4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89"/>
        <v>SPS1</v>
      </c>
      <c r="C1433" s="5" t="str">
        <f t="shared" si="1490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1.6015552099613519E-5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1.1107796626904402E-4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89"/>
        <v>SPS1</v>
      </c>
      <c r="C1434" s="5" t="str">
        <f t="shared" si="1490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0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0.13095880341268168</v>
      </c>
      <c r="G1435" s="3">
        <f t="shared" ref="G1435" si="1515">SUM(G1436:G1458)</f>
        <v>0.131634935673374</v>
      </c>
      <c r="H1435" s="3">
        <f t="shared" ref="H1435" si="1516">SUM(H1436:H1458)</f>
        <v>0.13267465518829391</v>
      </c>
      <c r="I1435" s="3">
        <f t="shared" ref="I1435" si="1517">SUM(I1436:I1458)</f>
        <v>0.13441161664564757</v>
      </c>
      <c r="J1435" s="3">
        <f t="shared" ref="J1435" si="1518">SUM(J1436:J1458)</f>
        <v>0.13463742752455177</v>
      </c>
      <c r="K1435" s="3">
        <f t="shared" ref="K1435:L1435" si="1519">SUM(K1436:K1458)</f>
        <v>0.13472800805609822</v>
      </c>
      <c r="L1435" s="3">
        <f t="shared" si="1519"/>
        <v>0.13114631459760293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0">B1436</f>
        <v>SPS1</v>
      </c>
      <c r="C1437" s="5" t="str">
        <f t="shared" ref="C1437:C1458" si="1521">C1436</f>
        <v>CH</v>
      </c>
      <c r="D1437" t="s">
        <v>1429</v>
      </c>
      <c r="E1437" t="str">
        <f t="shared" ref="E1437:E1458" si="1522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1.5528773535307088E-4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3.3423439986446596E-4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3.161885070173378E-4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6.4639977782368921E-2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6.0905657186278044E-2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4.0301068526067525E-2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2.330912355163511E-2</v>
      </c>
      <c r="N1437" s="1"/>
    </row>
    <row r="1438" spans="2:14" x14ac:dyDescent="0.35">
      <c r="B1438" s="5" t="str">
        <f t="shared" si="1520"/>
        <v>SPS1</v>
      </c>
      <c r="C1438" s="5" t="str">
        <f t="shared" si="1521"/>
        <v>CH</v>
      </c>
      <c r="D1438" t="s">
        <v>1430</v>
      </c>
      <c r="E1438" t="str">
        <f t="shared" si="1522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4.3975340152684392E-4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5.9691284560629485E-4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6.3188353006055434E-4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2.2468763799472522E-2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2.4037879181046981E-2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4.4593380616222013E-2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5.2146206082191185E-2</v>
      </c>
      <c r="N1438" s="1"/>
    </row>
    <row r="1439" spans="2:14" x14ac:dyDescent="0.35">
      <c r="B1439" s="5" t="str">
        <f t="shared" si="1520"/>
        <v>SPS1</v>
      </c>
      <c r="C1439" s="5" t="str">
        <f t="shared" si="1521"/>
        <v>CH</v>
      </c>
      <c r="D1439" t="s">
        <v>1431</v>
      </c>
      <c r="E1439" t="str">
        <f t="shared" si="1522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6.4714437065426647E-5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1.5324522662836355E-4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1.6339225031169915E-4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1.1865373978210273E-4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9.2360390793110657E-5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1.5666010388957463E-4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8.8438671839162469E-3</v>
      </c>
      <c r="N1439" s="1"/>
    </row>
    <row r="1440" spans="2:14" x14ac:dyDescent="0.35">
      <c r="B1440" s="5" t="str">
        <f t="shared" si="1520"/>
        <v>SPS1</v>
      </c>
      <c r="C1440" s="5" t="str">
        <f t="shared" si="1521"/>
        <v>CH</v>
      </c>
      <c r="D1440" t="s">
        <v>1432</v>
      </c>
      <c r="E1440" t="str">
        <f t="shared" si="1522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2.7723178257248606E-6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4.7166402674753832E-6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2.8814097798273882E-6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1.5213348030532469E-6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2.4349431659608335E-6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5.4811536924247191E-7</v>
      </c>
      <c r="N1440" s="1"/>
    </row>
    <row r="1441" spans="2:14" x14ac:dyDescent="0.35">
      <c r="B1441" s="5" t="str">
        <f t="shared" si="1520"/>
        <v>SPS1</v>
      </c>
      <c r="C1441" s="5" t="str">
        <f t="shared" si="1521"/>
        <v>CH</v>
      </c>
      <c r="D1441" t="s">
        <v>1433</v>
      </c>
      <c r="E1441" t="str">
        <f t="shared" si="1522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0"/>
        <v>SPS1</v>
      </c>
      <c r="C1442" s="5" t="str">
        <f t="shared" si="1521"/>
        <v>CH</v>
      </c>
      <c r="D1442" t="s">
        <v>1434</v>
      </c>
      <c r="E1442" t="str">
        <f t="shared" si="1522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0"/>
        <v>SPS1</v>
      </c>
      <c r="C1443" s="5" t="str">
        <f t="shared" si="1521"/>
        <v>CH</v>
      </c>
      <c r="D1443" t="s">
        <v>1435</v>
      </c>
      <c r="E1443" t="str">
        <f t="shared" si="1522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0"/>
        <v>SPS1</v>
      </c>
      <c r="C1444" s="5" t="str">
        <f t="shared" si="1521"/>
        <v>CH</v>
      </c>
      <c r="D1444" t="s">
        <v>1436</v>
      </c>
      <c r="E1444" t="str">
        <f t="shared" si="1522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0"/>
        <v>SPS1</v>
      </c>
      <c r="C1445" s="5" t="str">
        <f t="shared" si="1521"/>
        <v>CH</v>
      </c>
      <c r="D1445" t="s">
        <v>1437</v>
      </c>
      <c r="E1445" t="str">
        <f t="shared" si="1522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4.3206812274141401E-4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4.6828512352783058E-4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8.4979556160951915E-5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3.9295050656548087E-3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2.457635313030904E-2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3.984621721328984E-2</v>
      </c>
      <c r="N1445" s="1"/>
    </row>
    <row r="1446" spans="2:14" x14ac:dyDescent="0.35">
      <c r="B1446" s="5" t="str">
        <f t="shared" si="1520"/>
        <v>SPS1</v>
      </c>
      <c r="C1446" s="5" t="str">
        <f t="shared" si="1521"/>
        <v>CH</v>
      </c>
      <c r="D1446" t="s">
        <v>1438</v>
      </c>
      <c r="E1446" t="str">
        <f t="shared" si="1522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1.8855505134591617E-5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7.7006323566029076E-3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3.4939403983486189E-2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3.3464575950845635E-2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1.2948366474838468E-2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3.8650587152661074E-3</v>
      </c>
      <c r="N1446" s="1"/>
    </row>
    <row r="1447" spans="2:14" x14ac:dyDescent="0.35">
      <c r="B1447" s="5" t="str">
        <f t="shared" si="1520"/>
        <v>SPS1</v>
      </c>
      <c r="C1447" s="5" t="str">
        <f t="shared" si="1521"/>
        <v>CH</v>
      </c>
      <c r="D1447" t="s">
        <v>1439</v>
      </c>
      <c r="E1447" t="str">
        <f t="shared" si="1522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7.9089333773619669E-6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3.117606585582765E-4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1.2156915264577173E-2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1.2205928415130156E-2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1.2149744261605656E-2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3.135293735935186E-3</v>
      </c>
      <c r="N1447" s="1"/>
    </row>
    <row r="1448" spans="2:14" x14ac:dyDescent="0.35">
      <c r="B1448" s="5" t="str">
        <f t="shared" si="1520"/>
        <v>SPS1</v>
      </c>
      <c r="C1448" s="5" t="str">
        <f t="shared" si="1521"/>
        <v>CH</v>
      </c>
      <c r="D1448" t="s">
        <v>1440</v>
      </c>
      <c r="E1448" t="str">
        <f t="shared" si="1522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8.6850926240159712E-8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2.2487043427675249E-7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4.1110019897530304E-8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0"/>
        <v>SPS1</v>
      </c>
      <c r="C1449" s="5" t="str">
        <f t="shared" si="1521"/>
        <v>CH</v>
      </c>
      <c r="D1449" t="s">
        <v>2116</v>
      </c>
      <c r="E1449" t="str">
        <f t="shared" si="1522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5.9984138941911694E-2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4.7984326351336815E-2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2.9990354358693731E-2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0"/>
        <v>SPS1</v>
      </c>
      <c r="C1450" s="5" t="str">
        <f t="shared" si="1521"/>
        <v>CH</v>
      </c>
      <c r="D1450" t="s">
        <v>1441</v>
      </c>
      <c r="E1450" t="str">
        <f t="shared" si="1522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1.4067213886556389E-2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3.8978808600841117E-2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4.829750220295094E-2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0"/>
        <v>SPS1</v>
      </c>
      <c r="C1451" s="5" t="str">
        <f t="shared" si="1521"/>
        <v>CH</v>
      </c>
      <c r="D1451" t="s">
        <v>1442</v>
      </c>
      <c r="E1451" t="str">
        <f t="shared" si="1522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4.5452742524227041E-2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3.4641788620793167E-2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3.5218412856590074E-2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0"/>
        <v>SPS1</v>
      </c>
      <c r="C1452" s="5" t="str">
        <f t="shared" si="1521"/>
        <v>CH</v>
      </c>
      <c r="D1452" t="s">
        <v>1443</v>
      </c>
      <c r="E1452" t="str">
        <f t="shared" si="1522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8.9363570149161315E-3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7.3777366332127168E-3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8.833905145203793E-3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0"/>
        <v>SPS1</v>
      </c>
      <c r="C1453" s="5" t="str">
        <f t="shared" si="1521"/>
        <v>CH</v>
      </c>
      <c r="D1453" t="s">
        <v>1444</v>
      </c>
      <c r="E1453" t="str">
        <f t="shared" si="1522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4.8462224551213502E-4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0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6.7136448103432098E-7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0"/>
        <v>SPS1</v>
      </c>
      <c r="C1454" s="5" t="str">
        <f t="shared" si="1521"/>
        <v>CH</v>
      </c>
      <c r="D1454" t="s">
        <v>2119</v>
      </c>
      <c r="E1454" t="str">
        <f t="shared" si="1522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1.3739732256129349E-3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1.0973065606061122E-3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6.8509453163211986E-4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0"/>
        <v>SPS1</v>
      </c>
      <c r="C1455" s="5" t="str">
        <f t="shared" si="1521"/>
        <v>CH</v>
      </c>
      <c r="D1455" t="s">
        <v>1445</v>
      </c>
      <c r="E1455" t="str">
        <f t="shared" si="1522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6.0072586224769788E-6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2.9799284591957362E-5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0"/>
        <v>SPS1</v>
      </c>
      <c r="C1456" s="5" t="str">
        <f t="shared" si="1521"/>
        <v>CH</v>
      </c>
      <c r="D1456" t="s">
        <v>1446</v>
      </c>
      <c r="E1456" t="str">
        <f t="shared" si="1522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1.9738142390838395E-6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1.5300823329025253E-5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0"/>
        <v>SPS1</v>
      </c>
      <c r="C1457" s="5" t="str">
        <f t="shared" si="1521"/>
        <v>CH</v>
      </c>
      <c r="D1457" t="s">
        <v>1447</v>
      </c>
      <c r="E1457" t="str">
        <f t="shared" si="1522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9.0363161801979023E-7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6.5306840408937762E-6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0"/>
        <v>SPS1</v>
      </c>
      <c r="C1458" s="5" t="str">
        <f t="shared" si="1521"/>
        <v>CH</v>
      </c>
      <c r="D1458" t="s">
        <v>1448</v>
      </c>
      <c r="E1458" t="str">
        <f t="shared" si="1522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0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3">B1459</f>
        <v>SPS1</v>
      </c>
      <c r="C1460" s="5" t="str">
        <f t="shared" ref="C1460:C1482" si="1524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5">IFERROR(G1436/G1401,"-")</f>
        <v>-</v>
      </c>
      <c r="H1460" s="1" t="str">
        <f t="shared" si="1525"/>
        <v>-</v>
      </c>
      <c r="I1460" s="1" t="str">
        <f t="shared" si="1525"/>
        <v>-</v>
      </c>
      <c r="J1460" s="1" t="str">
        <f t="shared" si="1525"/>
        <v>-</v>
      </c>
      <c r="K1460" s="1" t="str">
        <f t="shared" si="1525"/>
        <v>-</v>
      </c>
      <c r="L1460" s="1" t="str">
        <f t="shared" ref="L1460" si="1526">IFERROR(L1436/L1401,"-")</f>
        <v>-</v>
      </c>
      <c r="N1460" s="1"/>
    </row>
    <row r="1461" spans="2:14" x14ac:dyDescent="0.35">
      <c r="B1461" s="5" t="str">
        <f t="shared" si="1523"/>
        <v>SPS1</v>
      </c>
      <c r="C1461" s="5" t="str">
        <f t="shared" si="1524"/>
        <v>CH</v>
      </c>
      <c r="D1461" t="s">
        <v>1450</v>
      </c>
      <c r="E1461" t="s">
        <v>1229</v>
      </c>
      <c r="F1461" s="1">
        <f t="shared" ref="F1461:K1461" si="1527">IFERROR(F1437/F1402,"-")</f>
        <v>0.378693217018718</v>
      </c>
      <c r="G1461" s="1">
        <f t="shared" si="1527"/>
        <v>0.38311027087926569</v>
      </c>
      <c r="H1461" s="1">
        <f t="shared" si="1527"/>
        <v>0.38891559435384182</v>
      </c>
      <c r="I1461" s="1">
        <f t="shared" si="1527"/>
        <v>0.44725954356366532</v>
      </c>
      <c r="J1461" s="1">
        <f t="shared" si="1527"/>
        <v>0.46271389899265963</v>
      </c>
      <c r="K1461" s="1">
        <f t="shared" si="1527"/>
        <v>0.47118405360256072</v>
      </c>
      <c r="L1461" s="1">
        <f t="shared" ref="L1461" si="1528">IFERROR(L1437/L1402,"-")</f>
        <v>0.51966252701661997</v>
      </c>
      <c r="N1461" s="1"/>
    </row>
    <row r="1462" spans="2:14" x14ac:dyDescent="0.35">
      <c r="B1462" s="5" t="str">
        <f t="shared" si="1523"/>
        <v>SPS1</v>
      </c>
      <c r="C1462" s="5" t="str">
        <f t="shared" si="1524"/>
        <v>CH</v>
      </c>
      <c r="D1462" t="s">
        <v>1451</v>
      </c>
      <c r="E1462" t="s">
        <v>1229</v>
      </c>
      <c r="F1462" s="1">
        <f t="shared" ref="F1462:K1462" si="1529">IFERROR(F1438/F1403,"-")</f>
        <v>0.2751807049649071</v>
      </c>
      <c r="G1462" s="1">
        <f t="shared" si="1529"/>
        <v>0.27942582145058237</v>
      </c>
      <c r="H1462" s="1">
        <f t="shared" si="1529"/>
        <v>0.28042313744556724</v>
      </c>
      <c r="I1462" s="1">
        <f t="shared" si="1529"/>
        <v>0.32316431176465416</v>
      </c>
      <c r="J1462" s="1">
        <f t="shared" si="1529"/>
        <v>0.3273673713288397</v>
      </c>
      <c r="K1462" s="1">
        <f t="shared" si="1529"/>
        <v>0.35657562286378192</v>
      </c>
      <c r="L1462" s="1">
        <f t="shared" ref="L1462" si="1530">IFERROR(L1438/L1403,"-")</f>
        <v>0.37773769554246722</v>
      </c>
      <c r="N1462" s="1"/>
    </row>
    <row r="1463" spans="2:14" x14ac:dyDescent="0.35">
      <c r="B1463" s="5" t="str">
        <f t="shared" si="1523"/>
        <v>SPS1</v>
      </c>
      <c r="C1463" s="5" t="str">
        <f t="shared" si="1524"/>
        <v>CH</v>
      </c>
      <c r="D1463" t="s">
        <v>1452</v>
      </c>
      <c r="E1463" t="s">
        <v>1229</v>
      </c>
      <c r="F1463" s="1">
        <f t="shared" ref="F1463:K1463" si="1531">IFERROR(F1439/F1404,"-")</f>
        <v>0.18297040713439883</v>
      </c>
      <c r="G1463" s="1">
        <f t="shared" si="1531"/>
        <v>0.18514867320611533</v>
      </c>
      <c r="H1463" s="1">
        <f t="shared" si="1531"/>
        <v>0.18584988488559145</v>
      </c>
      <c r="I1463" s="1">
        <f t="shared" si="1531"/>
        <v>0.19412339712361443</v>
      </c>
      <c r="J1463" s="1">
        <f t="shared" si="1531"/>
        <v>0.22496629627851747</v>
      </c>
      <c r="K1463" s="1">
        <f t="shared" si="1531"/>
        <v>0.2335804713492689</v>
      </c>
      <c r="L1463" s="1">
        <f t="shared" ref="L1463" si="1532">IFERROR(L1439/L1404,"-")</f>
        <v>0.26206110328026805</v>
      </c>
      <c r="N1463" s="1"/>
    </row>
    <row r="1464" spans="2:14" x14ac:dyDescent="0.35">
      <c r="B1464" s="5" t="str">
        <f t="shared" si="1523"/>
        <v>SPS1</v>
      </c>
      <c r="C1464" s="5" t="str">
        <f t="shared" si="1524"/>
        <v>CH</v>
      </c>
      <c r="D1464" t="s">
        <v>1453</v>
      </c>
      <c r="E1464" t="s">
        <v>1229</v>
      </c>
      <c r="F1464" s="1" t="str">
        <f t="shared" ref="F1464:K1464" si="1533">IFERROR(F1440/F1405,"-")</f>
        <v>-</v>
      </c>
      <c r="G1464" s="1">
        <f t="shared" si="1533"/>
        <v>0.12643429100140421</v>
      </c>
      <c r="H1464" s="1">
        <f t="shared" si="1533"/>
        <v>0.12927544772233363</v>
      </c>
      <c r="I1464" s="1">
        <f t="shared" si="1533"/>
        <v>0.1404020035016488</v>
      </c>
      <c r="J1464" s="1">
        <f t="shared" si="1533"/>
        <v>0.15203630835067852</v>
      </c>
      <c r="K1464" s="1">
        <f t="shared" si="1533"/>
        <v>0.15765371998683808</v>
      </c>
      <c r="L1464" s="1">
        <f t="shared" ref="L1464" si="1534">IFERROR(L1440/L1405,"-")</f>
        <v>0.17547614587850302</v>
      </c>
      <c r="N1464" s="1"/>
    </row>
    <row r="1465" spans="2:14" x14ac:dyDescent="0.35">
      <c r="B1465" s="5" t="str">
        <f t="shared" si="1523"/>
        <v>SPS1</v>
      </c>
      <c r="C1465" s="5" t="str">
        <f t="shared" si="1524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5">IFERROR(G1441/G1407,"-")</f>
        <v>-</v>
      </c>
      <c r="H1465" s="1" t="str">
        <f t="shared" si="1535"/>
        <v>-</v>
      </c>
      <c r="I1465" s="1" t="str">
        <f t="shared" si="1535"/>
        <v>-</v>
      </c>
      <c r="J1465" s="1" t="str">
        <f t="shared" si="1535"/>
        <v>-</v>
      </c>
      <c r="K1465" s="1" t="str">
        <f t="shared" si="1535"/>
        <v>-</v>
      </c>
      <c r="L1465" s="1" t="str">
        <f t="shared" ref="L1465" si="1536">IFERROR(L1441/L1407,"-")</f>
        <v>-</v>
      </c>
      <c r="N1465" s="1"/>
    </row>
    <row r="1466" spans="2:14" x14ac:dyDescent="0.35">
      <c r="B1466" s="5" t="str">
        <f t="shared" si="1523"/>
        <v>SPS1</v>
      </c>
      <c r="C1466" s="5" t="str">
        <f t="shared" si="1524"/>
        <v>CH</v>
      </c>
      <c r="D1466" t="s">
        <v>1455</v>
      </c>
      <c r="E1466" t="s">
        <v>1229</v>
      </c>
      <c r="F1466" s="1" t="str">
        <f t="shared" ref="F1466:K1466" si="1537">IFERROR(F1442/F1408,"-")</f>
        <v>-</v>
      </c>
      <c r="G1466" s="1" t="str">
        <f t="shared" si="1537"/>
        <v>-</v>
      </c>
      <c r="H1466" s="1" t="str">
        <f t="shared" si="1537"/>
        <v>-</v>
      </c>
      <c r="I1466" s="1" t="str">
        <f t="shared" si="1537"/>
        <v>-</v>
      </c>
      <c r="J1466" s="1" t="str">
        <f t="shared" si="1537"/>
        <v>-</v>
      </c>
      <c r="K1466" s="1" t="str">
        <f t="shared" si="1537"/>
        <v>-</v>
      </c>
      <c r="L1466" s="1" t="str">
        <f t="shared" ref="L1466" si="1538">IFERROR(L1442/L1408,"-")</f>
        <v>-</v>
      </c>
      <c r="N1466" s="1"/>
    </row>
    <row r="1467" spans="2:14" x14ac:dyDescent="0.35">
      <c r="B1467" s="5" t="str">
        <f t="shared" si="1523"/>
        <v>SPS1</v>
      </c>
      <c r="C1467" s="5" t="str">
        <f t="shared" si="1524"/>
        <v>CH</v>
      </c>
      <c r="D1467" t="s">
        <v>1456</v>
      </c>
      <c r="E1467" t="s">
        <v>1229</v>
      </c>
      <c r="F1467" s="1" t="str">
        <f t="shared" ref="F1467:K1467" si="1539">IFERROR(F1443/F1409,"-")</f>
        <v>-</v>
      </c>
      <c r="G1467" s="1" t="str">
        <f t="shared" si="1539"/>
        <v>-</v>
      </c>
      <c r="H1467" s="1" t="str">
        <f t="shared" si="1539"/>
        <v>-</v>
      </c>
      <c r="I1467" s="1" t="str">
        <f t="shared" si="1539"/>
        <v>-</v>
      </c>
      <c r="J1467" s="1" t="str">
        <f t="shared" si="1539"/>
        <v>-</v>
      </c>
      <c r="K1467" s="1" t="str">
        <f t="shared" si="1539"/>
        <v>-</v>
      </c>
      <c r="L1467" s="1" t="str">
        <f t="shared" ref="L1467" si="1540">IFERROR(L1443/L1409,"-")</f>
        <v>-</v>
      </c>
      <c r="N1467" s="1"/>
    </row>
    <row r="1468" spans="2:14" x14ac:dyDescent="0.35">
      <c r="B1468" s="5" t="str">
        <f t="shared" si="1523"/>
        <v>SPS1</v>
      </c>
      <c r="C1468" s="5" t="str">
        <f t="shared" si="1524"/>
        <v>CH</v>
      </c>
      <c r="D1468" t="s">
        <v>1457</v>
      </c>
      <c r="E1468" t="s">
        <v>1229</v>
      </c>
      <c r="F1468" s="1" t="str">
        <f t="shared" ref="F1468:K1468" si="1541">IFERROR(F1444/F1410,"-")</f>
        <v>-</v>
      </c>
      <c r="G1468" s="1" t="str">
        <f t="shared" si="1541"/>
        <v>-</v>
      </c>
      <c r="H1468" s="1" t="str">
        <f t="shared" si="1541"/>
        <v>-</v>
      </c>
      <c r="I1468" s="1" t="str">
        <f t="shared" si="1541"/>
        <v>-</v>
      </c>
      <c r="J1468" s="1" t="str">
        <f t="shared" si="1541"/>
        <v>-</v>
      </c>
      <c r="K1468" s="1" t="str">
        <f t="shared" si="1541"/>
        <v>-</v>
      </c>
      <c r="L1468" s="1" t="str">
        <f t="shared" ref="L1468" si="1542">IFERROR(L1444/L1410,"-")</f>
        <v>-</v>
      </c>
      <c r="N1468" s="1"/>
    </row>
    <row r="1469" spans="2:14" x14ac:dyDescent="0.35">
      <c r="B1469" s="5" t="str">
        <f t="shared" si="1523"/>
        <v>SPS1</v>
      </c>
      <c r="C1469" s="5" t="str">
        <f t="shared" si="1524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3">IFERROR(G1445/G1416,"-")</f>
        <v>0.16251369968883855</v>
      </c>
      <c r="H1469" s="1">
        <f t="shared" si="1543"/>
        <v>0.16315047453474976</v>
      </c>
      <c r="I1469" s="1">
        <f t="shared" si="1543"/>
        <v>0.17496624648235184</v>
      </c>
      <c r="J1469" s="1">
        <f t="shared" si="1543"/>
        <v>0.19404499210032736</v>
      </c>
      <c r="K1469" s="1">
        <f t="shared" si="1543"/>
        <v>0.20251263824391982</v>
      </c>
      <c r="L1469" s="1">
        <f t="shared" ref="L1469" si="1544">IFERROR(L1445/L1416,"-")</f>
        <v>0.22051428262261846</v>
      </c>
      <c r="N1469" s="1"/>
    </row>
    <row r="1470" spans="2:14" x14ac:dyDescent="0.35">
      <c r="B1470" s="5" t="str">
        <f t="shared" si="1523"/>
        <v>SPS1</v>
      </c>
      <c r="C1470" s="5" t="str">
        <f t="shared" si="1524"/>
        <v>CH</v>
      </c>
      <c r="D1470" t="s">
        <v>1459</v>
      </c>
      <c r="E1470" t="s">
        <v>1229</v>
      </c>
      <c r="F1470" s="1" t="str">
        <f t="shared" ref="F1470:K1470" si="1545">IFERROR(F1446/F1417,"-")</f>
        <v>-</v>
      </c>
      <c r="G1470" s="1">
        <f t="shared" si="1545"/>
        <v>0.11649393435744133</v>
      </c>
      <c r="H1470" s="1">
        <f t="shared" si="1545"/>
        <v>0.12234044252674703</v>
      </c>
      <c r="I1470" s="1">
        <f t="shared" si="1545"/>
        <v>0.1298377389218878</v>
      </c>
      <c r="J1470" s="1">
        <f t="shared" si="1545"/>
        <v>0.13089727155026515</v>
      </c>
      <c r="K1470" s="1">
        <f t="shared" si="1545"/>
        <v>0.14040596364564809</v>
      </c>
      <c r="L1470" s="1">
        <f t="shared" ref="L1470" si="1546">IFERROR(L1446/L1417,"-")</f>
        <v>0.14668582291164931</v>
      </c>
      <c r="N1470" s="1"/>
    </row>
    <row r="1471" spans="2:14" x14ac:dyDescent="0.35">
      <c r="B1471" s="5" t="str">
        <f t="shared" si="1523"/>
        <v>SPS1</v>
      </c>
      <c r="C1471" s="5" t="str">
        <f t="shared" si="1524"/>
        <v>CH</v>
      </c>
      <c r="D1471" t="s">
        <v>1460</v>
      </c>
      <c r="E1471" t="s">
        <v>1229</v>
      </c>
      <c r="F1471" s="1" t="str">
        <f t="shared" ref="F1471:K1471" si="1547">IFERROR(F1447/F1418,"-")</f>
        <v>-</v>
      </c>
      <c r="G1471" s="1">
        <f t="shared" si="1547"/>
        <v>7.8235828164578899E-2</v>
      </c>
      <c r="H1471" s="1">
        <f t="shared" si="1547"/>
        <v>8.2094073830131009E-2</v>
      </c>
      <c r="I1471" s="1">
        <f t="shared" si="1547"/>
        <v>8.8631569032312146E-2</v>
      </c>
      <c r="J1471" s="1">
        <f t="shared" si="1547"/>
        <v>8.9990894001404878E-2</v>
      </c>
      <c r="K1471" s="1">
        <f t="shared" si="1547"/>
        <v>9.7451801256849629E-2</v>
      </c>
      <c r="L1471" s="1">
        <f t="shared" ref="L1471" si="1548">IFERROR(L1447/L1418,"-")</f>
        <v>9.8754330496180015E-2</v>
      </c>
      <c r="N1471" s="1"/>
    </row>
    <row r="1472" spans="2:14" x14ac:dyDescent="0.35">
      <c r="B1472" s="5" t="str">
        <f t="shared" si="1523"/>
        <v>SPS1</v>
      </c>
      <c r="C1472" s="5" t="str">
        <f t="shared" si="1524"/>
        <v>CH</v>
      </c>
      <c r="D1472" t="s">
        <v>1461</v>
      </c>
      <c r="E1472" t="s">
        <v>1229</v>
      </c>
      <c r="F1472" s="1" t="str">
        <f t="shared" ref="F1472:K1472" si="1549">IFERROR(F1448/F1419,"-")</f>
        <v>-</v>
      </c>
      <c r="G1472" s="1">
        <f t="shared" si="1549"/>
        <v>5.2751439830497827E-2</v>
      </c>
      <c r="H1472" s="1">
        <f t="shared" si="1549"/>
        <v>5.374537949554626E-2</v>
      </c>
      <c r="I1472" s="1">
        <f t="shared" si="1549"/>
        <v>5.9918127796354935E-2</v>
      </c>
      <c r="J1472" s="1" t="str">
        <f t="shared" si="1549"/>
        <v>-</v>
      </c>
      <c r="K1472" s="1" t="str">
        <f t="shared" si="1549"/>
        <v>-</v>
      </c>
      <c r="L1472" s="1" t="str">
        <f t="shared" ref="L1472" si="1550">IFERROR(L1448/L1419,"-")</f>
        <v>-</v>
      </c>
      <c r="N1472" s="1"/>
    </row>
    <row r="1473" spans="2:14" x14ac:dyDescent="0.35">
      <c r="B1473" s="5" t="str">
        <f t="shared" si="1523"/>
        <v>SPS1</v>
      </c>
      <c r="C1473" s="5" t="str">
        <f t="shared" si="1524"/>
        <v>CH</v>
      </c>
      <c r="D1473" t="s">
        <v>2117</v>
      </c>
      <c r="E1473" t="s">
        <v>1229</v>
      </c>
      <c r="F1473" s="1">
        <f>IFERROR(F1449/F1420,"-")</f>
        <v>9.9502495941956663</v>
      </c>
      <c r="G1473" s="1">
        <f t="shared" ref="G1473:K1473" si="1551">IFERROR(G1449/G1420,"-")</f>
        <v>7.9797266512003144</v>
      </c>
      <c r="H1473" s="1">
        <f t="shared" si="1551"/>
        <v>5.0239422367072892</v>
      </c>
      <c r="I1473" s="1" t="str">
        <f t="shared" si="1551"/>
        <v>-</v>
      </c>
      <c r="J1473" s="1" t="str">
        <f t="shared" si="1551"/>
        <v>-</v>
      </c>
      <c r="K1473" s="1" t="str">
        <f t="shared" si="1551"/>
        <v>-</v>
      </c>
      <c r="L1473" s="1" t="str">
        <f t="shared" ref="L1473" si="1552">IFERROR(L1449/L1420,"-")</f>
        <v>-</v>
      </c>
      <c r="N1473" s="1"/>
    </row>
    <row r="1474" spans="2:14" x14ac:dyDescent="0.35">
      <c r="B1474" s="5" t="str">
        <f t="shared" si="1523"/>
        <v>SPS1</v>
      </c>
      <c r="C1474" s="5" t="str">
        <f t="shared" si="1524"/>
        <v>CH</v>
      </c>
      <c r="D1474" t="s">
        <v>1462</v>
      </c>
      <c r="E1474" t="s">
        <v>1229</v>
      </c>
      <c r="F1474" s="1">
        <f t="shared" ref="F1474:K1474" si="1553">IFERROR(F1450/F1421,"-")</f>
        <v>0.12391916748597498</v>
      </c>
      <c r="G1474" s="1">
        <f t="shared" si="1553"/>
        <v>0.126676497443969</v>
      </c>
      <c r="H1474" s="1">
        <f t="shared" si="1553"/>
        <v>0.12827437422135315</v>
      </c>
      <c r="I1474" s="1" t="str">
        <f t="shared" si="1553"/>
        <v>-</v>
      </c>
      <c r="J1474" s="1" t="str">
        <f t="shared" si="1553"/>
        <v>-</v>
      </c>
      <c r="K1474" s="1" t="str">
        <f t="shared" si="1553"/>
        <v>-</v>
      </c>
      <c r="L1474" s="1" t="str">
        <f t="shared" ref="L1474" si="1554">IFERROR(L1450/L1421,"-")</f>
        <v>-</v>
      </c>
      <c r="N1474" s="1"/>
    </row>
    <row r="1475" spans="2:14" x14ac:dyDescent="0.35">
      <c r="B1475" s="5" t="str">
        <f t="shared" si="1523"/>
        <v>SPS1</v>
      </c>
      <c r="C1475" s="5" t="str">
        <f t="shared" si="1524"/>
        <v>CH</v>
      </c>
      <c r="D1475" t="s">
        <v>1463</v>
      </c>
      <c r="E1475" t="s">
        <v>1229</v>
      </c>
      <c r="F1475" s="1">
        <f t="shared" ref="F1475:K1475" si="1555">IFERROR(F1451/F1422,"-")</f>
        <v>8.7465847585616527E-2</v>
      </c>
      <c r="G1475" s="1">
        <f t="shared" si="1555"/>
        <v>8.7815618576156856E-2</v>
      </c>
      <c r="H1475" s="1">
        <f t="shared" si="1555"/>
        <v>8.7814361585798764E-2</v>
      </c>
      <c r="I1475" s="1" t="str">
        <f t="shared" si="1555"/>
        <v>-</v>
      </c>
      <c r="J1475" s="1" t="str">
        <f t="shared" si="1555"/>
        <v>-</v>
      </c>
      <c r="K1475" s="1" t="str">
        <f t="shared" si="1555"/>
        <v>-</v>
      </c>
      <c r="L1475" s="1" t="str">
        <f t="shared" ref="L1475" si="1556">IFERROR(L1451/L1422,"-")</f>
        <v>-</v>
      </c>
      <c r="N1475" s="1"/>
    </row>
    <row r="1476" spans="2:14" x14ac:dyDescent="0.35">
      <c r="B1476" s="5" t="str">
        <f t="shared" si="1523"/>
        <v>SPS1</v>
      </c>
      <c r="C1476" s="5" t="str">
        <f t="shared" si="1524"/>
        <v>CH</v>
      </c>
      <c r="D1476" t="s">
        <v>1464</v>
      </c>
      <c r="E1476" t="s">
        <v>1229</v>
      </c>
      <c r="F1476" s="1">
        <f t="shared" ref="F1476:K1476" si="1557">IFERROR(F1452/F1423,"-")</f>
        <v>5.7949527986548469E-2</v>
      </c>
      <c r="G1476" s="1">
        <f t="shared" si="1557"/>
        <v>5.8181108083566975E-2</v>
      </c>
      <c r="H1476" s="1">
        <f t="shared" si="1557"/>
        <v>5.8147375100769956E-2</v>
      </c>
      <c r="I1476" s="1" t="str">
        <f t="shared" si="1557"/>
        <v>-</v>
      </c>
      <c r="J1476" s="1" t="str">
        <f t="shared" si="1557"/>
        <v>-</v>
      </c>
      <c r="K1476" s="1" t="str">
        <f t="shared" si="1557"/>
        <v>-</v>
      </c>
      <c r="L1476" s="1" t="str">
        <f t="shared" ref="L1476" si="1558">IFERROR(L1452/L1423,"-")</f>
        <v>-</v>
      </c>
      <c r="N1476" s="1"/>
    </row>
    <row r="1477" spans="2:14" x14ac:dyDescent="0.35">
      <c r="B1477" s="5" t="str">
        <f t="shared" si="1523"/>
        <v>SPS1</v>
      </c>
      <c r="C1477" s="5" t="str">
        <f t="shared" si="1524"/>
        <v>CH</v>
      </c>
      <c r="D1477" t="s">
        <v>1465</v>
      </c>
      <c r="E1477" t="s">
        <v>1229</v>
      </c>
      <c r="F1477" s="1">
        <f t="shared" ref="F1477:K1477" si="1559">IFERROR(F1453/F1424,"-")</f>
        <v>3.8646481387947476E-2</v>
      </c>
      <c r="G1477" s="1" t="str">
        <f t="shared" si="1559"/>
        <v>-</v>
      </c>
      <c r="H1477" s="1">
        <f t="shared" si="1559"/>
        <v>3.886269062671184E-2</v>
      </c>
      <c r="I1477" s="1" t="str">
        <f t="shared" si="1559"/>
        <v>-</v>
      </c>
      <c r="J1477" s="1" t="str">
        <f t="shared" si="1559"/>
        <v>-</v>
      </c>
      <c r="K1477" s="1" t="str">
        <f t="shared" si="1559"/>
        <v>-</v>
      </c>
      <c r="L1477" s="1" t="str">
        <f t="shared" ref="L1477" si="1560">IFERROR(L1453/L1424,"-")</f>
        <v>-</v>
      </c>
      <c r="N1477" s="1"/>
    </row>
    <row r="1478" spans="2:14" x14ac:dyDescent="0.35">
      <c r="B1478" s="5" t="str">
        <f t="shared" si="1523"/>
        <v>SPS1</v>
      </c>
      <c r="C1478" s="5" t="str">
        <f t="shared" si="1524"/>
        <v>CH</v>
      </c>
      <c r="D1478" t="s">
        <v>2120</v>
      </c>
      <c r="E1478" t="s">
        <v>1229</v>
      </c>
      <c r="F1478" s="1">
        <f>IFERROR(F1454/F1430,"-")</f>
        <v>9.9502495941956486</v>
      </c>
      <c r="G1478" s="1">
        <f t="shared" ref="G1478:K1478" si="1561">IFERROR(G1454/G1430,"-")</f>
        <v>7.9767976048237488</v>
      </c>
      <c r="H1478" s="1">
        <f t="shared" si="1561"/>
        <v>5.0166196207658729</v>
      </c>
      <c r="I1478" s="1" t="str">
        <f t="shared" si="1561"/>
        <v>-</v>
      </c>
      <c r="J1478" s="1" t="str">
        <f t="shared" si="1561"/>
        <v>-</v>
      </c>
      <c r="K1478" s="1" t="str">
        <f t="shared" si="1561"/>
        <v>-</v>
      </c>
      <c r="L1478" s="1" t="str">
        <f t="shared" ref="L1478" si="1562">IFERROR(L1454/L1430,"-")</f>
        <v>-</v>
      </c>
      <c r="N1478" s="1"/>
    </row>
    <row r="1479" spans="2:14" x14ac:dyDescent="0.35">
      <c r="B1479" s="5" t="str">
        <f t="shared" si="1523"/>
        <v>SPS1</v>
      </c>
      <c r="C1479" s="5" t="str">
        <f t="shared" si="1524"/>
        <v>CH</v>
      </c>
      <c r="D1479" t="s">
        <v>1466</v>
      </c>
      <c r="E1479" t="s">
        <v>1229</v>
      </c>
      <c r="F1479" s="1" t="str">
        <f t="shared" ref="F1479:K1479" si="1563">IFERROR(F1455/F1431,"-")</f>
        <v>-</v>
      </c>
      <c r="G1479" s="1">
        <f t="shared" si="1563"/>
        <v>0.12023751974847223</v>
      </c>
      <c r="H1479" s="1">
        <f t="shared" si="1563"/>
        <v>0.12510229600828085</v>
      </c>
      <c r="I1479" s="1" t="str">
        <f t="shared" si="1563"/>
        <v>-</v>
      </c>
      <c r="J1479" s="1" t="str">
        <f t="shared" si="1563"/>
        <v>-</v>
      </c>
      <c r="K1479" s="1" t="str">
        <f t="shared" si="1563"/>
        <v>-</v>
      </c>
      <c r="L1479" s="1" t="str">
        <f t="shared" ref="L1479" si="1564">IFERROR(L1455/L1431,"-")</f>
        <v>-</v>
      </c>
      <c r="N1479" s="1"/>
    </row>
    <row r="1480" spans="2:14" x14ac:dyDescent="0.35">
      <c r="B1480" s="5" t="str">
        <f t="shared" si="1523"/>
        <v>SPS1</v>
      </c>
      <c r="C1480" s="5" t="str">
        <f t="shared" si="1524"/>
        <v>CH</v>
      </c>
      <c r="D1480" t="s">
        <v>1467</v>
      </c>
      <c r="E1480" t="s">
        <v>1229</v>
      </c>
      <c r="F1480" s="1" t="str">
        <f t="shared" ref="F1480:K1480" si="1565">IFERROR(F1456/F1432,"-")</f>
        <v>-</v>
      </c>
      <c r="G1480" s="1">
        <f t="shared" si="1565"/>
        <v>8.4998076233608819E-2</v>
      </c>
      <c r="H1480" s="1">
        <f t="shared" si="1565"/>
        <v>8.8591000003002851E-2</v>
      </c>
      <c r="I1480" s="1" t="str">
        <f t="shared" si="1565"/>
        <v>-</v>
      </c>
      <c r="J1480" s="1" t="str">
        <f t="shared" si="1565"/>
        <v>-</v>
      </c>
      <c r="K1480" s="1" t="str">
        <f t="shared" si="1565"/>
        <v>-</v>
      </c>
      <c r="L1480" s="1" t="str">
        <f t="shared" ref="L1480" si="1566">IFERROR(L1456/L1432,"-")</f>
        <v>-</v>
      </c>
      <c r="N1480" s="1"/>
    </row>
    <row r="1481" spans="2:14" x14ac:dyDescent="0.35">
      <c r="B1481" s="5" t="str">
        <f t="shared" si="1523"/>
        <v>SPS1</v>
      </c>
      <c r="C1481" s="5" t="str">
        <f t="shared" si="1524"/>
        <v>CH</v>
      </c>
      <c r="D1481" t="s">
        <v>1468</v>
      </c>
      <c r="E1481" t="s">
        <v>1229</v>
      </c>
      <c r="F1481" s="1" t="str">
        <f t="shared" ref="F1481:K1481" si="1567">IFERROR(F1457/F1433,"-")</f>
        <v>-</v>
      </c>
      <c r="G1481" s="1">
        <f t="shared" si="1567"/>
        <v>5.642213346123711E-2</v>
      </c>
      <c r="H1481" s="1">
        <f t="shared" si="1567"/>
        <v>5.879369473758355E-2</v>
      </c>
      <c r="I1481" s="1" t="str">
        <f t="shared" si="1567"/>
        <v>-</v>
      </c>
      <c r="J1481" s="1" t="str">
        <f t="shared" si="1567"/>
        <v>-</v>
      </c>
      <c r="K1481" s="1" t="str">
        <f t="shared" si="1567"/>
        <v>-</v>
      </c>
      <c r="L1481" s="1" t="str">
        <f t="shared" ref="L1481" si="1568">IFERROR(L1457/L1433,"-")</f>
        <v>-</v>
      </c>
      <c r="N1481" s="1"/>
    </row>
    <row r="1482" spans="2:14" x14ac:dyDescent="0.35">
      <c r="B1482" s="5" t="str">
        <f t="shared" si="1523"/>
        <v>SPS1</v>
      </c>
      <c r="C1482" s="5" t="str">
        <f t="shared" si="1524"/>
        <v>CH</v>
      </c>
      <c r="D1482" t="s">
        <v>1469</v>
      </c>
      <c r="E1482" t="s">
        <v>1229</v>
      </c>
      <c r="F1482" s="1" t="str">
        <f t="shared" ref="F1482:K1482" si="1569">IFERROR(F1458/F1434,"-")</f>
        <v>-</v>
      </c>
      <c r="G1482" s="1" t="str">
        <f t="shared" si="1569"/>
        <v>-</v>
      </c>
      <c r="H1482" s="1" t="str">
        <f t="shared" si="1569"/>
        <v>-</v>
      </c>
      <c r="I1482" s="1" t="str">
        <f t="shared" si="1569"/>
        <v>-</v>
      </c>
      <c r="J1482" s="1" t="str">
        <f t="shared" si="1569"/>
        <v>-</v>
      </c>
      <c r="K1482" s="1" t="str">
        <f t="shared" si="1569"/>
        <v>-</v>
      </c>
      <c r="L1482" s="1" t="str">
        <f t="shared" ref="L1482" si="1570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1">G1484</f>
        <v>0.30668648626079364</v>
      </c>
      <c r="H1483" s="3">
        <f t="shared" si="1571"/>
        <v>0.35149986092475399</v>
      </c>
      <c r="I1483" s="3">
        <f t="shared" si="1571"/>
        <v>0.45078090930791764</v>
      </c>
      <c r="J1483" s="3">
        <f t="shared" si="1571"/>
        <v>0.45958965891661224</v>
      </c>
      <c r="K1483" s="3">
        <f t="shared" si="1571"/>
        <v>0.47237229295618205</v>
      </c>
      <c r="L1483" s="3">
        <f t="shared" si="1571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2">G1485</f>
        <v>0.30668648626079364</v>
      </c>
      <c r="H1484" s="1">
        <f t="shared" si="1572"/>
        <v>0.35149986092475399</v>
      </c>
      <c r="I1484" s="1">
        <f t="shared" si="1572"/>
        <v>0.45078090930791764</v>
      </c>
      <c r="J1484" s="1">
        <f t="shared" si="1572"/>
        <v>0.45958965891661224</v>
      </c>
      <c r="K1484" s="1">
        <f t="shared" si="1572"/>
        <v>0.47237229295618205</v>
      </c>
      <c r="L1484" s="1">
        <f t="shared" si="1572"/>
        <v>0.48809144422268363</v>
      </c>
      <c r="N1484" s="1"/>
    </row>
    <row r="1485" spans="2:14" x14ac:dyDescent="0.35">
      <c r="B1485" s="5" t="str">
        <f t="shared" ref="B1485" si="1573">B1484</f>
        <v>SPS1</v>
      </c>
      <c r="C1485" s="5" t="str">
        <f t="shared" ref="C1485" si="1574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5">B1485</f>
        <v>SPS1</v>
      </c>
      <c r="C1486" s="9" t="str">
        <f t="shared" si="1575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6">G1487</f>
        <v>2.7782165745480814E-2</v>
      </c>
      <c r="H1486" s="3">
        <f t="shared" si="1576"/>
        <v>2.8832315767707572E-2</v>
      </c>
      <c r="I1486" s="3">
        <f t="shared" si="1576"/>
        <v>3.0543631535415186E-2</v>
      </c>
      <c r="J1486" s="3">
        <f t="shared" si="1576"/>
        <v>3.1140487340042711E-2</v>
      </c>
      <c r="K1486" s="3">
        <f t="shared" si="1576"/>
        <v>3.2006602244411902E-2</v>
      </c>
      <c r="L1486" s="3">
        <f t="shared" si="1576"/>
        <v>3.3071687199031169E-2</v>
      </c>
      <c r="N1486" s="1"/>
    </row>
    <row r="1487" spans="2:14" x14ac:dyDescent="0.35">
      <c r="B1487" s="5" t="str">
        <f t="shared" si="1575"/>
        <v>SPS1</v>
      </c>
      <c r="C1487" s="5" t="str">
        <f t="shared" si="1575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5"/>
        <v>SPS1</v>
      </c>
      <c r="C1488" s="9" t="str">
        <f t="shared" si="1575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5"/>
        <v>SPS1</v>
      </c>
      <c r="C1489" s="5" t="str">
        <f t="shared" si="1575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7">G1487/G1485</f>
        <v>9.0588164102724744E-2</v>
      </c>
      <c r="H1489" s="1">
        <f t="shared" si="1577"/>
        <v>8.2026535350122776E-2</v>
      </c>
      <c r="I1489" s="1">
        <f t="shared" si="1577"/>
        <v>6.7757154095786171E-2</v>
      </c>
      <c r="J1489" s="1">
        <f t="shared" si="1577"/>
        <v>6.7757154095786185E-2</v>
      </c>
      <c r="K1489" s="1">
        <f t="shared" si="1577"/>
        <v>6.7757154095786226E-2</v>
      </c>
      <c r="L1489" s="1">
        <f t="shared" ref="L1489" si="1578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79">G1491</f>
        <v>0.61504030570008339</v>
      </c>
      <c r="H1490" s="3">
        <f t="shared" ref="H1490:H1491" si="1580">H1491</f>
        <v>0.65830556959273911</v>
      </c>
      <c r="I1490" s="3">
        <f t="shared" ref="I1490:I1491" si="1581">I1491</f>
        <v>0.7379148962536346</v>
      </c>
      <c r="J1490" s="3">
        <f t="shared" ref="J1490:J1491" si="1582">J1491</f>
        <v>0.7561616857731851</v>
      </c>
      <c r="K1490" s="3">
        <f t="shared" ref="K1490:L1491" si="1583">K1491</f>
        <v>0.77325934733858914</v>
      </c>
      <c r="L1490" s="3">
        <f t="shared" si="1583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79"/>
        <v>0.61504030570008339</v>
      </c>
      <c r="H1491" s="1">
        <f t="shared" si="1580"/>
        <v>0.65830556959273911</v>
      </c>
      <c r="I1491" s="1">
        <f t="shared" si="1581"/>
        <v>0.7379148962536346</v>
      </c>
      <c r="J1491" s="1">
        <f t="shared" si="1582"/>
        <v>0.7561616857731851</v>
      </c>
      <c r="K1491" s="1">
        <f t="shared" si="1583"/>
        <v>0.77325934733858914</v>
      </c>
      <c r="L1491" s="1">
        <f t="shared" si="1583"/>
        <v>0.79899112903654423</v>
      </c>
      <c r="N1491" s="1"/>
    </row>
    <row r="1492" spans="2:14" x14ac:dyDescent="0.35">
      <c r="B1492" s="5" t="str">
        <f t="shared" ref="B1492" si="1584">B1491</f>
        <v>SPS1</v>
      </c>
      <c r="C1492" s="5" t="str">
        <f t="shared" ref="C1492" si="1585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6">B1492</f>
        <v>SPS1</v>
      </c>
      <c r="C1493" s="9" t="str">
        <f t="shared" si="1586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7">G1494</f>
        <v>3.4238693943285006E-2</v>
      </c>
      <c r="H1493" s="3">
        <f t="shared" ref="H1493" si="1588">H1494</f>
        <v>3.5370833501607003E-2</v>
      </c>
      <c r="I1493" s="3">
        <f t="shared" ref="I1493" si="1589">I1494</f>
        <v>3.726366700321395E-2</v>
      </c>
      <c r="J1493" s="3">
        <f t="shared" ref="J1493" si="1590">J1494</f>
        <v>3.8185104274620588E-2</v>
      </c>
      <c r="K1493" s="3">
        <f t="shared" ref="K1493:L1493" si="1591">K1494</f>
        <v>3.9048512196511807E-2</v>
      </c>
      <c r="L1493" s="3">
        <f t="shared" si="1591"/>
        <v>4.0347931071859175E-2</v>
      </c>
      <c r="N1493" s="1"/>
    </row>
    <row r="1494" spans="2:14" x14ac:dyDescent="0.35">
      <c r="B1494" s="5" t="str">
        <f t="shared" si="1586"/>
        <v>SPS1</v>
      </c>
      <c r="C1494" s="5" t="str">
        <f t="shared" si="1586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6"/>
        <v>SPS1</v>
      </c>
      <c r="C1495" s="9" t="str">
        <f t="shared" si="1586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6"/>
        <v>SPS1</v>
      </c>
      <c r="C1496" s="5" t="str">
        <f t="shared" si="1586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2">G1494/G1492</f>
        <v>5.5669024657354849E-2</v>
      </c>
      <c r="H1496" s="1">
        <f t="shared" si="1592"/>
        <v>5.3730114304652132E-2</v>
      </c>
      <c r="I1496" s="1">
        <f t="shared" si="1592"/>
        <v>5.049859705014785E-2</v>
      </c>
      <c r="J1496" s="1">
        <f t="shared" si="1592"/>
        <v>5.0498597050147843E-2</v>
      </c>
      <c r="K1496" s="1">
        <f t="shared" si="1592"/>
        <v>5.0498597050147948E-2</v>
      </c>
      <c r="L1496" s="1">
        <f t="shared" ref="L1496" si="1593">L1494/L1492</f>
        <v>5.0498597050147906E-2</v>
      </c>
      <c r="N1496" s="1"/>
    </row>
    <row r="1497" spans="2:14" x14ac:dyDescent="0.35">
      <c r="B1497" s="9" t="str">
        <f t="shared" si="1586"/>
        <v>SPS1</v>
      </c>
      <c r="C1497" s="9" t="str">
        <f t="shared" si="1586"/>
        <v>CH</v>
      </c>
      <c r="D1497" s="2" t="s">
        <v>1487</v>
      </c>
      <c r="E1497" s="2" t="s">
        <v>8</v>
      </c>
      <c r="F1497" s="3">
        <f>SUM(F1498,F1503,F1508)</f>
        <v>2.4109843891519218</v>
      </c>
      <c r="G1497" s="3">
        <f t="shared" ref="G1497:K1497" si="1594">SUM(G1498,G1503,G1508)</f>
        <v>2.1613951232729884</v>
      </c>
      <c r="H1497" s="3">
        <f t="shared" si="1594"/>
        <v>1.8792915209432111</v>
      </c>
      <c r="I1497" s="3">
        <f t="shared" si="1594"/>
        <v>1.4915271180625915</v>
      </c>
      <c r="J1497" s="3">
        <f t="shared" si="1594"/>
        <v>1.1773787753221432</v>
      </c>
      <c r="K1497" s="3">
        <f t="shared" si="1594"/>
        <v>1.0564451161868889</v>
      </c>
      <c r="L1497" s="3">
        <f t="shared" ref="L1497" si="1595">SUM(L1498,L1503,L1508)</f>
        <v>0.88934709499255316</v>
      </c>
      <c r="N1497" s="1"/>
    </row>
    <row r="1498" spans="2:14" x14ac:dyDescent="0.35">
      <c r="B1498" s="5" t="str">
        <f>B1497</f>
        <v>SPS1</v>
      </c>
      <c r="C1498" t="str">
        <f t="shared" ref="C1498:C1502" si="1596">C1497</f>
        <v>CH</v>
      </c>
      <c r="D1498" t="s">
        <v>1488</v>
      </c>
      <c r="E1498" t="str">
        <f>E1497</f>
        <v>PJ/yr.</v>
      </c>
      <c r="F1498" s="1">
        <f>SUM(F1499:F1502)</f>
        <v>2.0217455595157871E-3</v>
      </c>
      <c r="G1498" s="1">
        <f t="shared" ref="G1498:K1498" si="1597">SUM(G1499:G1502)</f>
        <v>2.7474493923565118E-3</v>
      </c>
      <c r="H1498" s="1">
        <f t="shared" si="1597"/>
        <v>2.7938128409860275E-3</v>
      </c>
      <c r="I1498" s="1">
        <f t="shared" si="1597"/>
        <v>2.0527879366025663E-3</v>
      </c>
      <c r="J1498" s="1">
        <f t="shared" si="1597"/>
        <v>2.7018683818406399E-4</v>
      </c>
      <c r="K1498" s="1">
        <f t="shared" si="1597"/>
        <v>2.0908641981892058E-4</v>
      </c>
      <c r="L1498" s="1">
        <f t="shared" ref="L1498" si="1598">SUM(L1499:L1502)</f>
        <v>1.4904123208737277E-4</v>
      </c>
      <c r="N1498" s="1"/>
    </row>
    <row r="1499" spans="2:14" x14ac:dyDescent="0.35">
      <c r="B1499" t="str">
        <f t="shared" ref="B1499:B1502" si="1599">B1498</f>
        <v>SPS1</v>
      </c>
      <c r="C1499" t="str">
        <f t="shared" si="1596"/>
        <v>CH</v>
      </c>
      <c r="D1499" t="s">
        <v>1489</v>
      </c>
      <c r="E1499" t="str">
        <f t="shared" ref="E1499:E1502" si="1600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1.5638898941887358E-3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2.1302347981485134E-3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2.1493205679388289E-3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1.4605435076773881E-3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6.7019407946586047E-5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7.9954821856027922E-5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8.8053500990086932E-5</v>
      </c>
      <c r="N1499" s="1"/>
    </row>
    <row r="1500" spans="2:14" x14ac:dyDescent="0.35">
      <c r="B1500" t="str">
        <f t="shared" si="1599"/>
        <v>SPS1</v>
      </c>
      <c r="C1500" t="str">
        <f t="shared" si="1596"/>
        <v>CH</v>
      </c>
      <c r="D1500" t="s">
        <v>1490</v>
      </c>
      <c r="E1500" t="str">
        <f t="shared" si="1600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3.5994548754967871E-4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4.3821456800514203E-4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4.4776874145314771E-4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3.8057357695290899E-4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3.9094909263962628E-5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2.7666000520182038E-5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2.0052063199347706E-5</v>
      </c>
      <c r="N1500" s="1"/>
    </row>
    <row r="1501" spans="2:14" x14ac:dyDescent="0.35">
      <c r="B1501" t="str">
        <f t="shared" si="1599"/>
        <v>SPS1</v>
      </c>
      <c r="C1501" t="str">
        <f t="shared" si="1596"/>
        <v>CH</v>
      </c>
      <c r="D1501" t="s">
        <v>1492</v>
      </c>
      <c r="E1501" t="str">
        <f t="shared" si="1600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7.7253431537345477E-5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1.322066236276E-4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1.3918577512165304E-4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1.4621931013746099E-4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1.2714644101255982E-4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5.9540847612634888E-5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1.5810394314089992E-5</v>
      </c>
      <c r="N1501" s="1"/>
    </row>
    <row r="1502" spans="2:14" x14ac:dyDescent="0.35">
      <c r="B1502" t="str">
        <f t="shared" si="1599"/>
        <v>SPS1</v>
      </c>
      <c r="C1502" t="str">
        <f t="shared" si="1596"/>
        <v>CH</v>
      </c>
      <c r="D1502" t="s">
        <v>1491</v>
      </c>
      <c r="E1502" t="str">
        <f t="shared" si="1600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2.0656746240027413E-5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4.6793402575256453E-5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5.7537756472397454E-5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6.5451541834808284E-5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3.6926079960955512E-5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4.1924749830075737E-5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2.5125273583848119E-5</v>
      </c>
      <c r="N1502" s="1"/>
    </row>
    <row r="1503" spans="2:14" x14ac:dyDescent="0.35">
      <c r="B1503" s="5" t="str">
        <f>B1502</f>
        <v>SPS1</v>
      </c>
      <c r="C1503" t="str">
        <f t="shared" ref="C1503:C1507" si="1601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2">SUM(G1504:G1507)</f>
        <v>0</v>
      </c>
      <c r="H1503" s="1">
        <f t="shared" si="1602"/>
        <v>0</v>
      </c>
      <c r="I1503" s="1">
        <f t="shared" si="1602"/>
        <v>2.2104373401483236E-3</v>
      </c>
      <c r="J1503" s="1">
        <f t="shared" si="1602"/>
        <v>4.0789957738736285E-5</v>
      </c>
      <c r="K1503" s="1">
        <f t="shared" si="1602"/>
        <v>5.6029915968733616E-5</v>
      </c>
      <c r="L1503" s="1">
        <f t="shared" ref="L1503" si="1603">SUM(L1504:L1507)</f>
        <v>5.0813972281926699E-5</v>
      </c>
      <c r="N1503" s="1"/>
    </row>
    <row r="1504" spans="2:14" x14ac:dyDescent="0.35">
      <c r="B1504" t="str">
        <f t="shared" ref="B1504:B1507" si="1604">B1503</f>
        <v>SPS1</v>
      </c>
      <c r="C1504" t="str">
        <f t="shared" si="1601"/>
        <v>CH</v>
      </c>
      <c r="D1504" t="s">
        <v>1494</v>
      </c>
      <c r="E1504" t="str">
        <f t="shared" ref="E1504:E1507" si="1605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2.1204591981499737E-3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1.6180955742966855E-5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2.1102224320566434E-5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1.7282013719851198E-5</v>
      </c>
      <c r="N1504" s="1"/>
    </row>
    <row r="1505" spans="2:14" x14ac:dyDescent="0.35">
      <c r="B1505" t="str">
        <f t="shared" si="1604"/>
        <v>SPS1</v>
      </c>
      <c r="C1505" t="str">
        <f t="shared" si="1601"/>
        <v>CH</v>
      </c>
      <c r="D1505" t="s">
        <v>1495</v>
      </c>
      <c r="E1505" t="str">
        <f t="shared" si="1605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5.8858299581390651E-5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1.2308986052936273E-5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1.6398159538157161E-5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1.2783848587539207E-5</v>
      </c>
      <c r="N1505" s="1"/>
    </row>
    <row r="1506" spans="2:14" x14ac:dyDescent="0.35">
      <c r="B1506" t="str">
        <f t="shared" si="1604"/>
        <v>SPS1</v>
      </c>
      <c r="C1506" t="str">
        <f t="shared" si="1601"/>
        <v>CH</v>
      </c>
      <c r="D1506" t="s">
        <v>1496</v>
      </c>
      <c r="E1506" t="str">
        <f t="shared" si="1605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2.268455415878167E-5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8.2621178949470446E-6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1.2209808276618016E-5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1.2695906106443445E-5</v>
      </c>
      <c r="N1506" s="1"/>
    </row>
    <row r="1507" spans="2:14" x14ac:dyDescent="0.35">
      <c r="B1507" t="str">
        <f t="shared" si="1604"/>
        <v>SPS1</v>
      </c>
      <c r="C1507" t="str">
        <f t="shared" si="1601"/>
        <v>CH</v>
      </c>
      <c r="D1507" t="s">
        <v>1497</v>
      </c>
      <c r="E1507" t="str">
        <f t="shared" si="1605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8.4352882581774254E-6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4.0378980478861143E-6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6.3197238333920045E-6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8.0522038680928499E-6</v>
      </c>
      <c r="N1507" s="1"/>
    </row>
    <row r="1508" spans="2:14" x14ac:dyDescent="0.35">
      <c r="B1508" s="5" t="str">
        <f>B1507</f>
        <v>SPS1</v>
      </c>
      <c r="C1508" t="str">
        <f t="shared" ref="C1508:C1518" si="1606">C1507</f>
        <v>CH</v>
      </c>
      <c r="D1508" t="s">
        <v>1498</v>
      </c>
      <c r="E1508" t="str">
        <f>E1507</f>
        <v>PJ/yr.</v>
      </c>
      <c r="F1508" s="1">
        <f>SUM(F1513:F1517)</f>
        <v>2.4089626435924059</v>
      </c>
      <c r="G1508" s="1">
        <f t="shared" ref="G1508:K1508" si="1607">SUM(G1513:G1517)</f>
        <v>2.1586476738806319</v>
      </c>
      <c r="H1508" s="1">
        <f t="shared" si="1607"/>
        <v>1.8764977081022249</v>
      </c>
      <c r="I1508" s="1">
        <f t="shared" si="1607"/>
        <v>1.4872638927858406</v>
      </c>
      <c r="J1508" s="1">
        <f t="shared" si="1607"/>
        <v>1.1770677985262203</v>
      </c>
      <c r="K1508" s="1">
        <f t="shared" si="1607"/>
        <v>1.0561799998511012</v>
      </c>
      <c r="L1508" s="1">
        <f t="shared" ref="L1508" si="1608">SUM(L1513:L1517)</f>
        <v>0.88914723978818389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2.2770950396374472</v>
      </c>
      <c r="G1509" s="1">
        <f t="shared" ref="G1509:L1509" si="1609">IF(G1508-G1510&lt;0,0,G1508-G1510)</f>
        <v>2.0404821495697592</v>
      </c>
      <c r="H1509" s="1">
        <f t="shared" si="1609"/>
        <v>1.77377756925301</v>
      </c>
      <c r="I1509" s="1">
        <f t="shared" si="1609"/>
        <v>1.4058213228375491</v>
      </c>
      <c r="J1509" s="1">
        <f t="shared" si="1609"/>
        <v>1.1100385013015972</v>
      </c>
      <c r="K1509" s="1">
        <f t="shared" si="1609"/>
        <v>0.99836282809851229</v>
      </c>
      <c r="L1509" s="1">
        <f t="shared" si="1609"/>
        <v>0.84047371228090606</v>
      </c>
      <c r="N1509" s="1"/>
    </row>
    <row r="1510" spans="2:14" x14ac:dyDescent="0.35">
      <c r="B1510" s="5" t="str">
        <f t="shared" ref="B1510:B1512" si="1610">B1509</f>
        <v>SPS1</v>
      </c>
      <c r="C1510" s="5" t="str">
        <f t="shared" ref="C1510:C1512" si="1611">C1509</f>
        <v>CH</v>
      </c>
      <c r="D1510" t="s">
        <v>1500</v>
      </c>
      <c r="E1510" t="str">
        <f>E1509</f>
        <v>PJ/yr.</v>
      </c>
      <c r="F1510" s="1">
        <f>SUM(F1511:F1512)</f>
        <v>0.13186760395495847</v>
      </c>
      <c r="G1510" s="1">
        <f t="shared" ref="G1510" si="1612">SUM(G1511:G1512)</f>
        <v>0.11816552431087286</v>
      </c>
      <c r="H1510" s="1">
        <f t="shared" ref="H1510" si="1613">SUM(H1511:H1512)</f>
        <v>0.1027201388492149</v>
      </c>
      <c r="I1510" s="1">
        <f t="shared" ref="I1510" si="1614">SUM(I1511:I1512)</f>
        <v>8.1442569948291577E-2</v>
      </c>
      <c r="J1510" s="1">
        <f t="shared" ref="J1510" si="1615">SUM(J1511:J1512)</f>
        <v>6.7029297224623141E-2</v>
      </c>
      <c r="K1510" s="1">
        <f t="shared" ref="K1510:L1510" si="1616">SUM(K1511:K1512)</f>
        <v>5.7817171752588922E-2</v>
      </c>
      <c r="L1510" s="1">
        <f t="shared" si="1616"/>
        <v>4.867352750727777E-2</v>
      </c>
      <c r="N1510" s="1"/>
    </row>
    <row r="1511" spans="2:14" x14ac:dyDescent="0.35">
      <c r="B1511" s="5" t="str">
        <f t="shared" si="1610"/>
        <v>SPS1</v>
      </c>
      <c r="C1511" s="5" t="str">
        <f t="shared" si="1611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0.13186760395495847</v>
      </c>
      <c r="G1511" s="1">
        <f>[1]Transport!C$25/SUM([1]Transport!C$21,[1]Transport!C$25)*G1508*(G$35+G$600)/(G$35+G$600+G$39)</f>
        <v>0.11816552431087286</v>
      </c>
      <c r="H1511" s="1">
        <f>[1]Transport!D$25/SUM([1]Transport!D$21,[1]Transport!D$25)*H1508*(H$35+H$600)/(H$35+H$600+H$39)</f>
        <v>0.1027201388492149</v>
      </c>
      <c r="I1511" s="1">
        <f>[1]Transport!E$25/SUM([1]Transport!E$21,[1]Transport!E$25)*I1508*(I$35+I$600)/(I$35+I$600+I$39)</f>
        <v>8.1442569948291577E-2</v>
      </c>
      <c r="J1511" s="1">
        <f>[2]Transport!F$25/SUM([2]Transport!F$21,[2]Transport!F$25)*J1508*(J$35+J$600)/(J$35+J$600+J$39)</f>
        <v>6.7029297224623141E-2</v>
      </c>
      <c r="K1511" s="1">
        <f>[2]Transport!G$25/SUM([2]Transport!G$21,[2]Transport!G$25)*K1508*(K$35+K$600)/(K$35+K$600+K$39)</f>
        <v>5.7817171752588922E-2</v>
      </c>
      <c r="L1511" s="1">
        <f>[2]Transport!H$25/SUM([2]Transport!H$21,[2]Transport!H$25)*L1508*(L$35+L$600)/(L$35+L$600+L$39)</f>
        <v>4.867352750727777E-2</v>
      </c>
      <c r="N1511" s="1"/>
    </row>
    <row r="1512" spans="2:14" x14ac:dyDescent="0.35">
      <c r="B1512" s="5" t="str">
        <f t="shared" si="1610"/>
        <v>SPS1</v>
      </c>
      <c r="C1512" s="5" t="str">
        <f t="shared" si="1611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(L$39+L$719)/([2]Transport!H$21+[2]Transport!H$25)*L1508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1.9936715353191363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1.4983975047725102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1.0426460036457499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0.45302793523016488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4.4328945490460819E-2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0.17496205953551291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0.34683051360143541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0.61107082173708649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0.85448980773618932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0.89702642458905668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0.88226151879093062</v>
      </c>
      <c r="N1514" s="1"/>
    </row>
    <row r="1515" spans="2:14" x14ac:dyDescent="0.35">
      <c r="B1515" t="str">
        <f t="shared" ref="B1515:B1518" si="1617">B1514</f>
        <v>SPS1</v>
      </c>
      <c r="C1515" t="str">
        <f t="shared" si="1606"/>
        <v>CH</v>
      </c>
      <c r="D1515" t="s">
        <v>1579</v>
      </c>
      <c r="E1515" t="str">
        <f t="shared" ref="E1515:E1517" si="1618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0.11248164502917629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0.16289315034113327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0.16293436018506538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0.10106812640410752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9.4612206554042719E-3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8.8918096139593782E-5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5.3512428067495993E-5</v>
      </c>
      <c r="N1515" s="1"/>
    </row>
    <row r="1516" spans="2:14" x14ac:dyDescent="0.35">
      <c r="B1516" t="str">
        <f t="shared" si="1617"/>
        <v>SPS1</v>
      </c>
      <c r="C1516" t="str">
        <f t="shared" si="1606"/>
        <v>CH</v>
      </c>
      <c r="D1516" t="s">
        <v>1580</v>
      </c>
      <c r="E1516" t="str">
        <f t="shared" si="1618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0.1558702874188484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0.19674765818102927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0.19778116536262175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0.19650767378770528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0.18756061521272954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4.5370577097068619E-2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4.7046108272251235E-5</v>
      </c>
      <c r="N1516" s="1"/>
    </row>
    <row r="1517" spans="2:14" x14ac:dyDescent="0.35">
      <c r="B1517" t="str">
        <f t="shared" si="1617"/>
        <v>SPS1</v>
      </c>
      <c r="C1517" t="str">
        <f t="shared" si="1606"/>
        <v>CH</v>
      </c>
      <c r="D1517" t="s">
        <v>1581</v>
      </c>
      <c r="E1517" t="str">
        <f t="shared" si="1618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0.10261023033478388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0.1256473010504463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0.12630566530735235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0.12558933562677649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0.1255561549218972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0.11369408006883633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6.785162460913572E-3</v>
      </c>
      <c r="N1517" s="1"/>
    </row>
    <row r="1518" spans="2:14" x14ac:dyDescent="0.35">
      <c r="B1518" s="9" t="str">
        <f t="shared" si="1617"/>
        <v>SPS1</v>
      </c>
      <c r="C1518" s="9" t="str">
        <f t="shared" si="1606"/>
        <v>CH</v>
      </c>
      <c r="D1518" s="2" t="s">
        <v>1503</v>
      </c>
      <c r="E1518" s="2" t="s">
        <v>1517</v>
      </c>
      <c r="F1518" s="3">
        <f>SUM(F1519:F1531)</f>
        <v>1.9491184787075184</v>
      </c>
      <c r="G1518" s="3">
        <f t="shared" ref="G1518:K1518" si="1619">SUM(G1519:G1531)</f>
        <v>1.9513515273970126</v>
      </c>
      <c r="H1518" s="3">
        <f t="shared" si="1619"/>
        <v>1.9548860847408212</v>
      </c>
      <c r="I1518" s="3">
        <f t="shared" si="1619"/>
        <v>1.9606508282453403</v>
      </c>
      <c r="J1518" s="3">
        <f t="shared" si="1619"/>
        <v>1.9639878336895007</v>
      </c>
      <c r="K1518" s="3">
        <f t="shared" si="1619"/>
        <v>1.9649573552377235</v>
      </c>
      <c r="L1518" s="3">
        <f t="shared" ref="L1518" si="1620">SUM(L1519:L1531)</f>
        <v>1.9120096034088652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1.735749979108062E-2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2.3660886444947748E-2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2.3875615852337048E-2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1.6236883882030945E-2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7.6901700691483458E-4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9.2406929479584335E-4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1.0420307568386397E-3</v>
      </c>
      <c r="N1519" s="1"/>
    </row>
    <row r="1520" spans="2:14" x14ac:dyDescent="0.35">
      <c r="B1520" t="str">
        <f t="shared" ref="B1520:B1545" si="1621">B1519</f>
        <v>SPS1</v>
      </c>
      <c r="C1520" t="str">
        <f t="shared" ref="C1520:C1545" si="1622">C1519</f>
        <v>CH</v>
      </c>
      <c r="D1520" t="s">
        <v>1505</v>
      </c>
      <c r="E1520" t="str">
        <f t="shared" ref="E1520:E1531" si="1623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2.2620861858348323E-3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2.7553921648494789E-3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2.8164309707165553E-3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2.3963710286976705E-3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2.5064664649943969E-4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1.8105114859913817E-4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1.3316694685849056E-4</v>
      </c>
      <c r="N1520" s="1"/>
    </row>
    <row r="1521" spans="2:14" x14ac:dyDescent="0.35">
      <c r="B1521" t="str">
        <f t="shared" si="1621"/>
        <v>SPS1</v>
      </c>
      <c r="C1521" t="str">
        <f t="shared" si="1622"/>
        <v>CH</v>
      </c>
      <c r="D1521" t="s">
        <v>1506</v>
      </c>
      <c r="E1521" t="str">
        <f t="shared" si="1623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3.1597760336217094E-4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5.4154661703630384E-4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5.707159824145338E-4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6.0076861328604294E-4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5.2227530550860409E-4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2.4662023534646413E-4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6.8762375642585807E-5</v>
      </c>
      <c r="N1521" s="1"/>
    </row>
    <row r="1522" spans="2:14" x14ac:dyDescent="0.35">
      <c r="B1522" t="str">
        <f t="shared" si="1621"/>
        <v>SPS1</v>
      </c>
      <c r="C1522" t="str">
        <f t="shared" si="1622"/>
        <v>CH</v>
      </c>
      <c r="D1522" t="s">
        <v>1507</v>
      </c>
      <c r="E1522" t="str">
        <f t="shared" si="1623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7.7773754377636871E-5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1.7668477176910257E-4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2.1791615443663882E-4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2.4894440981270332E-4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1.408888261296442E-4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1.6106717724394728E-4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1.0015876513178004E-4</v>
      </c>
      <c r="N1522" s="1"/>
    </row>
    <row r="1523" spans="2:14" x14ac:dyDescent="0.35">
      <c r="B1523" t="str">
        <f t="shared" si="1621"/>
        <v>SPS1</v>
      </c>
      <c r="C1523" t="str">
        <f t="shared" si="1622"/>
        <v>CH</v>
      </c>
      <c r="D1523" t="s">
        <v>1508</v>
      </c>
      <c r="E1523" t="str">
        <f t="shared" si="1623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9.8370603252774559E-3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7.5834612985050881E-5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1.0014018918745312E-4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8.4188680964723968E-5</v>
      </c>
      <c r="N1523" s="1"/>
    </row>
    <row r="1524" spans="2:14" x14ac:dyDescent="0.35">
      <c r="B1524" t="str">
        <f t="shared" si="1621"/>
        <v>SPS1</v>
      </c>
      <c r="C1524" t="str">
        <f t="shared" si="1622"/>
        <v>CH</v>
      </c>
      <c r="D1524" t="s">
        <v>1509</v>
      </c>
      <c r="E1524" t="str">
        <f t="shared" si="1623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1.5896960741155905E-4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3.3549284515290322E-5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4.5125454272622014E-5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3.5946333340806893E-5</v>
      </c>
      <c r="N1524" s="1"/>
    </row>
    <row r="1525" spans="2:14" x14ac:dyDescent="0.35">
      <c r="B1525" t="str">
        <f t="shared" si="1621"/>
        <v>SPS1</v>
      </c>
      <c r="C1525" t="str">
        <f t="shared" si="1622"/>
        <v>CH</v>
      </c>
      <c r="D1525" t="s">
        <v>1510</v>
      </c>
      <c r="E1525" t="str">
        <f t="shared" si="1623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3.9939527050705452E-5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1.4675379030965974E-5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2.1855433564560664E-5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2.3190998648480899E-5</v>
      </c>
      <c r="N1525" s="1"/>
    </row>
    <row r="1526" spans="2:14" x14ac:dyDescent="0.35">
      <c r="B1526" t="str">
        <f t="shared" si="1621"/>
        <v>SPS1</v>
      </c>
      <c r="C1526" t="str">
        <f t="shared" si="1622"/>
        <v>CH</v>
      </c>
      <c r="D1526" t="s">
        <v>1511</v>
      </c>
      <c r="E1526" t="str">
        <f t="shared" si="1623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1.3176267612446265E-5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6.3733478648954608E-6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1.0070780438042415E-5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1.3062462987012013E-5</v>
      </c>
      <c r="N1526" s="1"/>
    </row>
    <row r="1527" spans="2:14" x14ac:dyDescent="0.35">
      <c r="B1527" t="str">
        <f t="shared" si="1621"/>
        <v>SPS1</v>
      </c>
      <c r="C1527" t="str">
        <f t="shared" si="1622"/>
        <v>CH</v>
      </c>
      <c r="D1527" t="s">
        <v>1512</v>
      </c>
      <c r="E1527" t="str">
        <f t="shared" si="1623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1.5374499195592601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1.1795959492843118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0.84594892378320741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0.38576743421029031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1"/>
        <v>SPS1</v>
      </c>
      <c r="C1528" t="str">
        <f t="shared" si="1622"/>
        <v>CH</v>
      </c>
      <c r="D1528" t="s">
        <v>1513</v>
      </c>
      <c r="E1528" t="str">
        <f t="shared" si="1623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8.4574469587622603E-2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0.33609024734103143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0.67167740368130724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1.2052754479701371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1.7298008228615138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1.8530762869995252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1.9058058168662089</v>
      </c>
      <c r="N1528" s="1"/>
    </row>
    <row r="1529" spans="2:14" x14ac:dyDescent="0.35">
      <c r="B1529" t="str">
        <f t="shared" si="1621"/>
        <v>SPS1</v>
      </c>
      <c r="C1529" t="str">
        <f t="shared" si="1622"/>
        <v>CH</v>
      </c>
      <c r="D1529" t="s">
        <v>1514</v>
      </c>
      <c r="E1529" t="str">
        <f t="shared" si="1623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0.12404059460166289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0.17988174842127719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0.17992891098011346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0.11163776749515338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1.0485288829185263E-2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1.0514317277478019E-4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6.5144873300670194E-5</v>
      </c>
      <c r="N1529" s="1"/>
    </row>
    <row r="1530" spans="2:14" x14ac:dyDescent="0.35">
      <c r="B1530" t="str">
        <f t="shared" si="1621"/>
        <v>SPS1</v>
      </c>
      <c r="C1530" t="str">
        <f t="shared" si="1622"/>
        <v>CH</v>
      </c>
      <c r="D1530" t="s">
        <v>1515</v>
      </c>
      <c r="E1530" t="str">
        <f t="shared" si="1623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0.1136959930916797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0.143659585560658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0.14441491258073696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0.1434866397884958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0.13695987069481641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3.317327321894184E-2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3.7476880150883164E-5</v>
      </c>
      <c r="N1530" s="1"/>
    </row>
    <row r="1531" spans="2:14" x14ac:dyDescent="0.35">
      <c r="B1531" t="str">
        <f t="shared" si="1621"/>
        <v>SPS1</v>
      </c>
      <c r="C1531" t="str">
        <f t="shared" si="1622"/>
        <v>CH</v>
      </c>
      <c r="D1531" t="s">
        <v>1516</v>
      </c>
      <c r="E1531" t="str">
        <f t="shared" si="1623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6.9344164532638142E-2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8.498948679113158E-2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8.5435254755551318E-2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8.4951425120084245E-2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8.4928590894536374E-2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7.6912652133033735E-2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4.6006574687920366E-3</v>
      </c>
      <c r="N1531" s="1"/>
    </row>
    <row r="1532" spans="2:14" x14ac:dyDescent="0.35">
      <c r="B1532" s="9" t="str">
        <f t="shared" si="1621"/>
        <v>SPS1</v>
      </c>
      <c r="C1532" s="9" t="str">
        <f t="shared" si="1622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1"/>
        <v>SPS1</v>
      </c>
      <c r="C1533" t="str">
        <f t="shared" si="1622"/>
        <v>CH</v>
      </c>
      <c r="D1533" t="s">
        <v>1519</v>
      </c>
      <c r="E1533" t="s">
        <v>1229</v>
      </c>
      <c r="F1533" s="1">
        <f t="shared" ref="F1533:K1536" si="1624">IFERROR(F1519/F1499,"-")</f>
        <v>11.098927012431895</v>
      </c>
      <c r="G1533" s="1">
        <f t="shared" si="1624"/>
        <v>11.107173005300885</v>
      </c>
      <c r="H1533" s="1">
        <f t="shared" si="1624"/>
        <v>11.108448040970202</v>
      </c>
      <c r="I1533" s="1">
        <f t="shared" si="1624"/>
        <v>11.117014862399721</v>
      </c>
      <c r="J1533" s="1">
        <f t="shared" si="1624"/>
        <v>11.474541934595054</v>
      </c>
      <c r="K1533" s="1">
        <f t="shared" si="1624"/>
        <v>11.557392954483536</v>
      </c>
      <c r="L1533" s="1">
        <f t="shared" ref="L1533" si="1625">IFERROR(L1519/L1499,"-")</f>
        <v>11.834063894358403</v>
      </c>
      <c r="N1533" s="1"/>
    </row>
    <row r="1534" spans="2:14" x14ac:dyDescent="0.35">
      <c r="B1534" t="str">
        <f t="shared" si="1621"/>
        <v>SPS1</v>
      </c>
      <c r="C1534" t="str">
        <f t="shared" si="1622"/>
        <v>CH</v>
      </c>
      <c r="D1534" t="s">
        <v>1520</v>
      </c>
      <c r="E1534" t="s">
        <v>1229</v>
      </c>
      <c r="F1534" s="1">
        <f t="shared" si="1624"/>
        <v>6.2845243629359997</v>
      </c>
      <c r="G1534" s="1">
        <f t="shared" si="1624"/>
        <v>6.2877694308354144</v>
      </c>
      <c r="H1534" s="1">
        <f t="shared" si="1624"/>
        <v>6.2899231455424243</v>
      </c>
      <c r="I1534" s="1">
        <f t="shared" si="1624"/>
        <v>6.2967351750596974</v>
      </c>
      <c r="J1534" s="1">
        <f t="shared" si="1624"/>
        <v>6.4112348952420701</v>
      </c>
      <c r="K1534" s="1">
        <f t="shared" si="1624"/>
        <v>6.5441749871674944</v>
      </c>
      <c r="L1534" s="1">
        <f t="shared" ref="L1534" si="1626">IFERROR(L1520/L1500,"-")</f>
        <v>6.6410596024264716</v>
      </c>
      <c r="N1534" s="1"/>
    </row>
    <row r="1535" spans="2:14" x14ac:dyDescent="0.35">
      <c r="B1535" t="str">
        <f t="shared" si="1621"/>
        <v>SPS1</v>
      </c>
      <c r="C1535" t="str">
        <f t="shared" si="1622"/>
        <v>CH</v>
      </c>
      <c r="D1535" t="s">
        <v>1521</v>
      </c>
      <c r="E1535" t="s">
        <v>1229</v>
      </c>
      <c r="F1535" s="1">
        <f t="shared" si="1624"/>
        <v>4.0901432735634868</v>
      </c>
      <c r="G1535" s="1">
        <f t="shared" si="1624"/>
        <v>4.0962139579461159</v>
      </c>
      <c r="H1535" s="1">
        <f t="shared" si="1624"/>
        <v>4.1003901577995947</v>
      </c>
      <c r="I1535" s="1">
        <f t="shared" si="1624"/>
        <v>4.108681765228269</v>
      </c>
      <c r="J1535" s="1">
        <f t="shared" si="1624"/>
        <v>4.107667515892266</v>
      </c>
      <c r="K1535" s="1">
        <f t="shared" si="1624"/>
        <v>4.1420343383578233</v>
      </c>
      <c r="L1535" s="1">
        <f t="shared" ref="L1535" si="1627">IFERROR(L1521/L1501,"-")</f>
        <v>4.3491878998429394</v>
      </c>
      <c r="N1535" s="1"/>
    </row>
    <row r="1536" spans="2:14" x14ac:dyDescent="0.35">
      <c r="B1536" t="str">
        <f t="shared" si="1621"/>
        <v>SPS1</v>
      </c>
      <c r="C1536" t="str">
        <f t="shared" si="1622"/>
        <v>CH</v>
      </c>
      <c r="D1536" t="s">
        <v>1522</v>
      </c>
      <c r="E1536" t="s">
        <v>1229</v>
      </c>
      <c r="F1536" s="1">
        <f t="shared" si="1624"/>
        <v>3.7650534829600373</v>
      </c>
      <c r="G1536" s="1">
        <f t="shared" si="1624"/>
        <v>3.7758479196922181</v>
      </c>
      <c r="H1536" s="1">
        <f t="shared" si="1624"/>
        <v>3.7873592541130723</v>
      </c>
      <c r="I1536" s="1">
        <f t="shared" si="1624"/>
        <v>3.8034919091899879</v>
      </c>
      <c r="J1536" s="1">
        <f t="shared" si="1624"/>
        <v>3.8154287235096618</v>
      </c>
      <c r="K1536" s="1">
        <f t="shared" si="1624"/>
        <v>3.8418160608415088</v>
      </c>
      <c r="L1536" s="1">
        <f t="shared" ref="L1536" si="1628">IFERROR(L1522/L1502,"-")</f>
        <v>3.986375105430394</v>
      </c>
      <c r="N1536" s="1"/>
    </row>
    <row r="1537" spans="2:14" x14ac:dyDescent="0.35">
      <c r="B1537" t="str">
        <f t="shared" si="1621"/>
        <v>SPS1</v>
      </c>
      <c r="C1537" t="str">
        <f t="shared" si="1622"/>
        <v>CH</v>
      </c>
      <c r="D1537" t="s">
        <v>1523</v>
      </c>
      <c r="E1537" t="s">
        <v>1229</v>
      </c>
      <c r="F1537" s="1" t="str">
        <f t="shared" ref="F1537:K1540" si="1629">IFERROR(F1523/F1504,"-")</f>
        <v>-</v>
      </c>
      <c r="G1537" s="1" t="str">
        <f t="shared" si="1629"/>
        <v>-</v>
      </c>
      <c r="H1537" s="1" t="str">
        <f t="shared" si="1629"/>
        <v>-</v>
      </c>
      <c r="I1537" s="1">
        <f t="shared" si="1629"/>
        <v>4.6391179485367822</v>
      </c>
      <c r="J1537" s="1">
        <f t="shared" si="1629"/>
        <v>4.686658451433737</v>
      </c>
      <c r="K1537" s="1">
        <f t="shared" si="1629"/>
        <v>4.7454802709994661</v>
      </c>
      <c r="L1537" s="1">
        <f t="shared" ref="L1537" si="1630">IFERROR(L1523/L1504,"-")</f>
        <v>4.8714624539395892</v>
      </c>
      <c r="N1537" s="1"/>
    </row>
    <row r="1538" spans="2:14" x14ac:dyDescent="0.35">
      <c r="B1538" t="str">
        <f t="shared" si="1621"/>
        <v>SPS1</v>
      </c>
      <c r="C1538" t="str">
        <f t="shared" si="1622"/>
        <v>CH</v>
      </c>
      <c r="D1538" t="s">
        <v>1524</v>
      </c>
      <c r="E1538" t="s">
        <v>1229</v>
      </c>
      <c r="F1538" s="1" t="str">
        <f t="shared" si="1629"/>
        <v>-</v>
      </c>
      <c r="G1538" s="1" t="str">
        <f t="shared" si="1629"/>
        <v>-</v>
      </c>
      <c r="H1538" s="1" t="str">
        <f t="shared" si="1629"/>
        <v>-</v>
      </c>
      <c r="I1538" s="1">
        <f t="shared" si="1629"/>
        <v>2.7008868509993587</v>
      </c>
      <c r="J1538" s="1">
        <f t="shared" si="1629"/>
        <v>2.7255928612647375</v>
      </c>
      <c r="K1538" s="1">
        <f t="shared" si="1629"/>
        <v>2.7518609126602782</v>
      </c>
      <c r="L1538" s="1">
        <f t="shared" ref="L1538" si="1631">IFERROR(L1524/L1505,"-")</f>
        <v>2.8118553731811904</v>
      </c>
      <c r="N1538" s="1"/>
    </row>
    <row r="1539" spans="2:14" x14ac:dyDescent="0.35">
      <c r="B1539" t="str">
        <f t="shared" si="1621"/>
        <v>SPS1</v>
      </c>
      <c r="C1539" t="str">
        <f t="shared" si="1622"/>
        <v>CH</v>
      </c>
      <c r="D1539" t="s">
        <v>1525</v>
      </c>
      <c r="E1539" t="s">
        <v>1229</v>
      </c>
      <c r="F1539" s="1" t="str">
        <f t="shared" si="1629"/>
        <v>-</v>
      </c>
      <c r="G1539" s="1" t="str">
        <f t="shared" si="1629"/>
        <v>-</v>
      </c>
      <c r="H1539" s="1" t="str">
        <f t="shared" si="1629"/>
        <v>-</v>
      </c>
      <c r="I1539" s="1">
        <f t="shared" si="1629"/>
        <v>1.7606485351727319</v>
      </c>
      <c r="J1539" s="1">
        <f t="shared" si="1629"/>
        <v>1.7762248393890818</v>
      </c>
      <c r="K1539" s="1">
        <f t="shared" si="1629"/>
        <v>1.7899899056084427</v>
      </c>
      <c r="L1539" s="1">
        <f t="shared" ref="L1539" si="1632">IFERROR(L1525/L1506,"-")</f>
        <v>1.8266517138710541</v>
      </c>
      <c r="N1539" s="1"/>
    </row>
    <row r="1540" spans="2:14" x14ac:dyDescent="0.35">
      <c r="B1540" t="str">
        <f t="shared" si="1621"/>
        <v>SPS1</v>
      </c>
      <c r="C1540" t="str">
        <f t="shared" si="1622"/>
        <v>CH</v>
      </c>
      <c r="D1540" t="s">
        <v>1526</v>
      </c>
      <c r="E1540" t="s">
        <v>1229</v>
      </c>
      <c r="F1540" s="1" t="str">
        <f t="shared" si="1629"/>
        <v>-</v>
      </c>
      <c r="G1540" s="1" t="str">
        <f t="shared" si="1629"/>
        <v>-</v>
      </c>
      <c r="H1540" s="1" t="str">
        <f t="shared" si="1629"/>
        <v>-</v>
      </c>
      <c r="I1540" s="1">
        <f t="shared" si="1629"/>
        <v>1.5620411785777197</v>
      </c>
      <c r="J1540" s="1">
        <f t="shared" si="1629"/>
        <v>1.5783825617469418</v>
      </c>
      <c r="K1540" s="1">
        <f t="shared" si="1629"/>
        <v>1.593547551054473</v>
      </c>
      <c r="L1540" s="1">
        <f t="shared" ref="L1540" si="1633">IFERROR(L1526/L1507,"-")</f>
        <v>1.6222220898768469</v>
      </c>
      <c r="N1540" s="1"/>
    </row>
    <row r="1541" spans="2:14" x14ac:dyDescent="0.35">
      <c r="B1541" t="str">
        <f t="shared" si="1621"/>
        <v>SPS1</v>
      </c>
      <c r="C1541" t="str">
        <f t="shared" si="1622"/>
        <v>CH</v>
      </c>
      <c r="D1541" t="s">
        <v>1582</v>
      </c>
      <c r="E1541" t="s">
        <v>1229</v>
      </c>
      <c r="F1541" s="1">
        <f t="shared" ref="F1541:K1545" si="1634">IFERROR(F1527/F1513,"-")</f>
        <v>0.77116510534577776</v>
      </c>
      <c r="G1541" s="1">
        <f t="shared" si="1634"/>
        <v>0.7872383299673209</v>
      </c>
      <c r="H1541" s="1">
        <f t="shared" si="1634"/>
        <v>0.81134816689963318</v>
      </c>
      <c r="I1541" s="1">
        <f t="shared" si="1634"/>
        <v>0.85153122845348983</v>
      </c>
      <c r="J1541" s="1" t="str">
        <f t="shared" si="1634"/>
        <v>-</v>
      </c>
      <c r="K1541" s="1" t="str">
        <f t="shared" si="1634"/>
        <v>-</v>
      </c>
      <c r="L1541" s="1" t="str">
        <f t="shared" ref="L1541" si="1635">IFERROR(L1527/L1513,"-")</f>
        <v>-</v>
      </c>
      <c r="N1541" s="1"/>
    </row>
    <row r="1542" spans="2:14" x14ac:dyDescent="0.35">
      <c r="B1542" t="str">
        <f t="shared" si="1621"/>
        <v>SPS1</v>
      </c>
      <c r="C1542" t="str">
        <f t="shared" si="1622"/>
        <v>CH</v>
      </c>
      <c r="D1542" t="s">
        <v>1583</v>
      </c>
      <c r="E1542" t="s">
        <v>1229</v>
      </c>
      <c r="F1542" s="1">
        <f t="shared" si="1634"/>
        <v>1.9078836334110914</v>
      </c>
      <c r="G1542" s="1">
        <f t="shared" si="1634"/>
        <v>1.9209321622829523</v>
      </c>
      <c r="H1542" s="1">
        <f t="shared" si="1634"/>
        <v>1.936615659062725</v>
      </c>
      <c r="I1542" s="1">
        <f t="shared" si="1634"/>
        <v>1.9723989513096198</v>
      </c>
      <c r="J1542" s="1">
        <f t="shared" si="1634"/>
        <v>2.0243668294233923</v>
      </c>
      <c r="K1542" s="1">
        <f t="shared" si="1634"/>
        <v>2.0657989956633123</v>
      </c>
      <c r="L1542" s="1">
        <f t="shared" ref="L1542" si="1636">IFERROR(L1528/L1514,"-")</f>
        <v>2.1601370753174916</v>
      </c>
      <c r="N1542" s="1"/>
    </row>
    <row r="1543" spans="2:14" x14ac:dyDescent="0.35">
      <c r="B1543" t="str">
        <f t="shared" si="1621"/>
        <v>SPS1</v>
      </c>
      <c r="C1543" t="str">
        <f t="shared" si="1622"/>
        <v>CH</v>
      </c>
      <c r="D1543" t="s">
        <v>1584</v>
      </c>
      <c r="E1543" t="s">
        <v>1229</v>
      </c>
      <c r="F1543" s="1">
        <f t="shared" si="1634"/>
        <v>1.102762984747319</v>
      </c>
      <c r="G1543" s="1">
        <f t="shared" si="1634"/>
        <v>1.1042928941122825</v>
      </c>
      <c r="H1543" s="1">
        <f t="shared" si="1634"/>
        <v>1.1043030504783964</v>
      </c>
      <c r="I1543" s="1">
        <f t="shared" si="1634"/>
        <v>1.1045793710351821</v>
      </c>
      <c r="J1543" s="1">
        <f t="shared" si="1634"/>
        <v>1.1082384832866192</v>
      </c>
      <c r="K1543" s="1">
        <f t="shared" si="1634"/>
        <v>1.1824721551585453</v>
      </c>
      <c r="L1543" s="1">
        <f t="shared" ref="L1543" si="1637">IFERROR(L1529/L1515,"-")</f>
        <v>1.2173783857929608</v>
      </c>
      <c r="N1543" s="1"/>
    </row>
    <row r="1544" spans="2:14" x14ac:dyDescent="0.35">
      <c r="B1544" t="str">
        <f t="shared" si="1621"/>
        <v>SPS1</v>
      </c>
      <c r="C1544" t="str">
        <f t="shared" si="1622"/>
        <v>CH</v>
      </c>
      <c r="D1544" t="s">
        <v>1585</v>
      </c>
      <c r="E1544" t="s">
        <v>1229</v>
      </c>
      <c r="F1544" s="1">
        <f t="shared" si="1634"/>
        <v>0.72942698043637</v>
      </c>
      <c r="G1544" s="1">
        <f t="shared" si="1634"/>
        <v>0.73017176869508427</v>
      </c>
      <c r="H1544" s="1">
        <f t="shared" si="1634"/>
        <v>0.73017525362417368</v>
      </c>
      <c r="I1544" s="1">
        <f t="shared" si="1634"/>
        <v>0.73018339193974624</v>
      </c>
      <c r="J1544" s="1">
        <f t="shared" si="1634"/>
        <v>0.73021657846172972</v>
      </c>
      <c r="K1544" s="1">
        <f t="shared" si="1634"/>
        <v>0.73116269048041616</v>
      </c>
      <c r="L1544" s="1">
        <f t="shared" ref="L1544" si="1638">IFERROR(L1530/L1516,"-")</f>
        <v>0.79659894361523209</v>
      </c>
      <c r="N1544" s="1"/>
    </row>
    <row r="1545" spans="2:14" x14ac:dyDescent="0.35">
      <c r="B1545" t="str">
        <f t="shared" si="1621"/>
        <v>SPS1</v>
      </c>
      <c r="C1545" t="str">
        <f t="shared" si="1622"/>
        <v>CH</v>
      </c>
      <c r="D1545" t="s">
        <v>1586</v>
      </c>
      <c r="E1545" t="s">
        <v>1229</v>
      </c>
      <c r="F1545" s="1">
        <f t="shared" si="1634"/>
        <v>0.67580166525687191</v>
      </c>
      <c r="G1545" s="1">
        <f t="shared" si="1634"/>
        <v>0.6764131507847434</v>
      </c>
      <c r="H1545" s="1">
        <f t="shared" si="1634"/>
        <v>0.67641664803912849</v>
      </c>
      <c r="I1545" s="1">
        <f t="shared" si="1634"/>
        <v>0.67642228295992379</v>
      </c>
      <c r="J1545" s="1">
        <f t="shared" si="1634"/>
        <v>0.67641917632287007</v>
      </c>
      <c r="K1545" s="1">
        <f t="shared" si="1634"/>
        <v>0.67648774752798735</v>
      </c>
      <c r="L1545" s="1">
        <f t="shared" ref="L1545" si="1639">IFERROR(L1531/L1517,"-")</f>
        <v>0.67804676679364173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16.649858371074501</v>
      </c>
      <c r="G1546" s="3">
        <f t="shared" ref="G1546:K1546" si="1640">G1547+G1550+G1552+G1559+G1567</f>
        <v>15.597758949217695</v>
      </c>
      <c r="H1546" s="3">
        <f t="shared" si="1640"/>
        <v>13.967576251770179</v>
      </c>
      <c r="I1546" s="3">
        <f t="shared" si="1640"/>
        <v>11.502150973391682</v>
      </c>
      <c r="J1546" s="3">
        <f t="shared" si="1640"/>
        <v>9.7574766124426713</v>
      </c>
      <c r="K1546" s="3">
        <f t="shared" si="1640"/>
        <v>8.8866654092749489</v>
      </c>
      <c r="L1546" s="3">
        <f t="shared" ref="L1546" si="1641">L1547+L1550+L1552+L1559+L1567</f>
        <v>9.390582063011939</v>
      </c>
      <c r="N1546" s="1"/>
    </row>
    <row r="1547" spans="2:14" x14ac:dyDescent="0.35">
      <c r="B1547" t="str">
        <f t="shared" ref="B1547:B1592" si="1642">B1546</f>
        <v>SPS1</v>
      </c>
      <c r="C1547" t="str">
        <f t="shared" ref="C1547:C1592" si="1643">C1546</f>
        <v>CH</v>
      </c>
      <c r="D1547" t="s">
        <v>1536</v>
      </c>
      <c r="E1547" t="str">
        <f>E1546</f>
        <v>PJ/yr.</v>
      </c>
      <c r="F1547" s="1">
        <f>SUM(F1548:F1549)</f>
        <v>7.6208145954106674E-2</v>
      </c>
      <c r="G1547" s="1">
        <f t="shared" ref="G1547:K1547" si="1644">SUM(G1548:G1549)</f>
        <v>0.1137326814899825</v>
      </c>
      <c r="H1547" s="1">
        <f t="shared" si="1644"/>
        <v>0.33578636706523574</v>
      </c>
      <c r="I1547" s="1">
        <f t="shared" si="1644"/>
        <v>1.2701398916044842</v>
      </c>
      <c r="J1547" s="1">
        <f t="shared" si="1644"/>
        <v>2.4947676733799518</v>
      </c>
      <c r="K1547" s="1">
        <f t="shared" si="1644"/>
        <v>4.6625452639863116</v>
      </c>
      <c r="L1547" s="1">
        <f t="shared" ref="L1547" si="1645">SUM(L1548:L1549)</f>
        <v>5.4840737717765924</v>
      </c>
      <c r="N1547" s="1"/>
    </row>
    <row r="1548" spans="2:14" x14ac:dyDescent="0.35">
      <c r="B1548" t="str">
        <f t="shared" si="1642"/>
        <v>SPS1</v>
      </c>
      <c r="C1548" t="str">
        <f t="shared" si="1643"/>
        <v>CH</v>
      </c>
      <c r="D1548" t="s">
        <v>1543</v>
      </c>
      <c r="E1548" t="str">
        <f t="shared" ref="E1548:E1572" si="1646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4.056003595660073E-2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3.4849358932842439E-2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2.6423102776511668E-2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1.320864298198568E-2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2"/>
        <v>SPS1</v>
      </c>
      <c r="C1549" t="str">
        <f t="shared" si="1643"/>
        <v>CH</v>
      </c>
      <c r="D1549" t="s">
        <v>1544</v>
      </c>
      <c r="E1549" t="str">
        <f t="shared" si="1646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3.5648109997505943E-2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7.8883322557140062E-2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0.30936326428872407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1.2569312486224984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2.4947676733799518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4.6625452639863116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5.4840737717765924</v>
      </c>
      <c r="N1549" s="1"/>
    </row>
    <row r="1550" spans="2:14" x14ac:dyDescent="0.35">
      <c r="B1550" t="str">
        <f t="shared" si="1642"/>
        <v>SPS1</v>
      </c>
      <c r="C1550" t="str">
        <f t="shared" si="1643"/>
        <v>CH</v>
      </c>
      <c r="D1550" t="s">
        <v>1537</v>
      </c>
      <c r="E1550" t="str">
        <f t="shared" si="1646"/>
        <v>PJ/yr.</v>
      </c>
      <c r="F1550" s="1">
        <f>F1551</f>
        <v>0</v>
      </c>
      <c r="G1550" s="1">
        <f t="shared" ref="G1550:L1550" si="1647">G1551</f>
        <v>1.0894397463237786E-5</v>
      </c>
      <c r="H1550" s="1">
        <f t="shared" si="1647"/>
        <v>1.7933815476686906E-5</v>
      </c>
      <c r="I1550" s="1">
        <f t="shared" si="1647"/>
        <v>8.112273166886119E-6</v>
      </c>
      <c r="J1550" s="1">
        <f t="shared" si="1647"/>
        <v>4.7517008826637623E-6</v>
      </c>
      <c r="K1550" s="1">
        <f t="shared" si="1647"/>
        <v>4.0773976676900805E-6</v>
      </c>
      <c r="L1550" s="1">
        <f t="shared" si="1647"/>
        <v>3.4879516853056983E-6</v>
      </c>
      <c r="N1550" s="1"/>
    </row>
    <row r="1551" spans="2:14" x14ac:dyDescent="0.35">
      <c r="B1551" t="str">
        <f t="shared" si="1642"/>
        <v>SPS1</v>
      </c>
      <c r="C1551" t="str">
        <f t="shared" si="1643"/>
        <v>CH</v>
      </c>
      <c r="D1551" t="s">
        <v>1545</v>
      </c>
      <c r="E1551" t="str">
        <f t="shared" si="1646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1.0894397463237786E-5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1.7933815476686906E-5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8.112273166886119E-6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4.7517008826637623E-6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4.0773976676900805E-6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3.4879516853056983E-6</v>
      </c>
      <c r="N1551" s="1"/>
    </row>
    <row r="1552" spans="2:14" x14ac:dyDescent="0.35">
      <c r="B1552" t="str">
        <f t="shared" si="1642"/>
        <v>SPS1</v>
      </c>
      <c r="C1552" t="str">
        <f t="shared" si="1643"/>
        <v>CH</v>
      </c>
      <c r="D1552" t="s">
        <v>1538</v>
      </c>
      <c r="E1552" t="str">
        <f t="shared" si="1646"/>
        <v>PJ/yr.</v>
      </c>
      <c r="F1552" s="1">
        <f>SUM(F1557:F1558)</f>
        <v>1.3355599281139474</v>
      </c>
      <c r="G1552" s="1">
        <f t="shared" ref="G1552:K1552" si="1648">SUM(G1557:G1558)</f>
        <v>2.3434034432450828</v>
      </c>
      <c r="H1552" s="1">
        <f t="shared" si="1648"/>
        <v>1.4712051441540313</v>
      </c>
      <c r="I1552" s="1">
        <f t="shared" si="1648"/>
        <v>1.6343435371474249</v>
      </c>
      <c r="J1552" s="1">
        <f t="shared" si="1648"/>
        <v>1.9837083642510525</v>
      </c>
      <c r="K1552" s="1">
        <f t="shared" si="1648"/>
        <v>1.155037829886852</v>
      </c>
      <c r="L1552" s="1">
        <f t="shared" ref="L1552" si="1649">SUM(L1557:L1558)</f>
        <v>1.1554742948154282</v>
      </c>
      <c r="N1552" s="1"/>
    </row>
    <row r="1553" spans="2:14" x14ac:dyDescent="0.35">
      <c r="B1553" t="str">
        <f t="shared" si="1642"/>
        <v>SPS1</v>
      </c>
      <c r="C1553" t="str">
        <f t="shared" si="1643"/>
        <v>CH</v>
      </c>
      <c r="D1553" t="s">
        <v>1539</v>
      </c>
      <c r="E1553" t="str">
        <f t="shared" si="1646"/>
        <v>PJ/yr.</v>
      </c>
      <c r="F1553" s="1">
        <f>IF(F1552-F1554&lt;0,0,F1552-F1554)</f>
        <v>1.2624508294207417</v>
      </c>
      <c r="G1553" s="1">
        <f t="shared" ref="G1553:L1553" si="1650">IF(G1552-G1554&lt;0,0,G1552-G1554)</f>
        <v>2.2151242896372336</v>
      </c>
      <c r="H1553" s="1">
        <f t="shared" si="1650"/>
        <v>1.3906708615750147</v>
      </c>
      <c r="I1553" s="1">
        <f t="shared" si="1650"/>
        <v>1.5448468859550504</v>
      </c>
      <c r="J1553" s="1">
        <f t="shared" si="1650"/>
        <v>1.8707441172290549</v>
      </c>
      <c r="K1553" s="1">
        <f t="shared" si="1650"/>
        <v>1.0918090046859199</v>
      </c>
      <c r="L1553" s="1">
        <f t="shared" si="1650"/>
        <v>1.0922215427897355</v>
      </c>
      <c r="N1553" s="1"/>
    </row>
    <row r="1554" spans="2:14" x14ac:dyDescent="0.35">
      <c r="B1554" t="str">
        <f t="shared" si="1642"/>
        <v>SPS1</v>
      </c>
      <c r="C1554" t="str">
        <f t="shared" si="1643"/>
        <v>CH</v>
      </c>
      <c r="D1554" t="s">
        <v>1540</v>
      </c>
      <c r="E1554" t="str">
        <f t="shared" si="1646"/>
        <v>PJ/yr.</v>
      </c>
      <c r="F1554" s="1">
        <f>SUM(F1555:F1556)</f>
        <v>7.3109098693205657E-2</v>
      </c>
      <c r="G1554" s="1">
        <f t="shared" ref="G1554:K1554" si="1651">SUM(G1555:G1556)</f>
        <v>0.12827915360784919</v>
      </c>
      <c r="H1554" s="1">
        <f t="shared" si="1651"/>
        <v>8.0534282579016458E-2</v>
      </c>
      <c r="I1554" s="1">
        <f t="shared" si="1651"/>
        <v>8.9496651192374488E-2</v>
      </c>
      <c r="J1554" s="1">
        <f t="shared" si="1651"/>
        <v>0.11296424702199755</v>
      </c>
      <c r="K1554" s="1">
        <f t="shared" si="1651"/>
        <v>6.3228825200932037E-2</v>
      </c>
      <c r="L1554" s="1">
        <f t="shared" ref="L1554" si="1652">SUM(L1555:L1556)</f>
        <v>6.3252752025692707E-2</v>
      </c>
      <c r="N1554" s="1"/>
    </row>
    <row r="1555" spans="2:14" x14ac:dyDescent="0.35">
      <c r="B1555" t="str">
        <f t="shared" si="1642"/>
        <v>SPS1</v>
      </c>
      <c r="C1555" t="str">
        <f t="shared" si="1643"/>
        <v>CH</v>
      </c>
      <c r="D1555" t="s">
        <v>1541</v>
      </c>
      <c r="E1555" t="str">
        <f t="shared" si="1646"/>
        <v>PJ/yr.</v>
      </c>
      <c r="F1555" s="1">
        <f>[1]Transport!B$25/SUM([1]Transport!B$21,[1]Transport!B$25)*F1552*(F$35+F$600)/(F$35+F$600+F$39)</f>
        <v>7.3109098693205657E-2</v>
      </c>
      <c r="G1555" s="1">
        <f>[1]Transport!C$25/SUM([1]Transport!C$21,[1]Transport!C$25)*G1552*(G$35+G$600)/(G$35+G$600+G$39)</f>
        <v>0.12827915360784919</v>
      </c>
      <c r="H1555" s="1">
        <f>[1]Transport!D$25/SUM([1]Transport!D$21,[1]Transport!D$25)*H1552*(H$35+H$600)/(H$35+H$600+H$39)</f>
        <v>8.0534282579016458E-2</v>
      </c>
      <c r="I1555" s="1">
        <f>[1]Transport!E$25/SUM([1]Transport!E$21,[1]Transport!E$25)*I1552*(I$35+I$600)/(I$35+I$600+I$39)</f>
        <v>8.9496651192374488E-2</v>
      </c>
      <c r="J1555" s="1">
        <f>[2]Transport!F$25/SUM([2]Transport!F$21,[2]Transport!F$25)*J1552*(J$35+J$600)/(J$35+J$600+J$39)</f>
        <v>0.11296424702199755</v>
      </c>
      <c r="K1555" s="1">
        <f>[2]Transport!G$25/SUM([2]Transport!G$21,[2]Transport!G$25)*K1552*(K$35+K$600)/(K$35+K$600+K$39)</f>
        <v>6.3228825200932037E-2</v>
      </c>
      <c r="L1555" s="1">
        <f>[2]Transport!H$25/SUM([2]Transport!H$21,[2]Transport!H$25)*L1552*(L$35+L$600)/(L$35+L$600+L$39)</f>
        <v>6.3252752025692707E-2</v>
      </c>
      <c r="N1555" s="1"/>
    </row>
    <row r="1556" spans="2:14" x14ac:dyDescent="0.35">
      <c r="B1556" t="str">
        <f t="shared" si="1642"/>
        <v>SPS1</v>
      </c>
      <c r="C1556" t="str">
        <f t="shared" si="1643"/>
        <v>CH</v>
      </c>
      <c r="D1556" t="s">
        <v>1542</v>
      </c>
      <c r="E1556" t="str">
        <f t="shared" si="1646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42"/>
        <v>SPS1</v>
      </c>
      <c r="C1557" t="str">
        <f t="shared" si="1643"/>
        <v>CH</v>
      </c>
      <c r="D1557" t="s">
        <v>1588</v>
      </c>
      <c r="E1557" t="str">
        <f t="shared" si="1646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0.83186221244697156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1.7652496943743856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0.54182949948840853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0.27085910700974941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2"/>
        <v>SPS1</v>
      </c>
      <c r="C1558" t="str">
        <f t="shared" si="1643"/>
        <v>CH</v>
      </c>
      <c r="D1558" t="s">
        <v>1587</v>
      </c>
      <c r="E1558" t="str">
        <f t="shared" si="1646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0.50369771566697585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0.57815374887069693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0.92937564466562284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1.3634844301376754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1.9837083642510525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1.155037829886852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1.1554742948154282</v>
      </c>
      <c r="N1558" s="1"/>
    </row>
    <row r="1559" spans="2:14" x14ac:dyDescent="0.35">
      <c r="B1559" t="str">
        <f t="shared" si="1642"/>
        <v>SPS1</v>
      </c>
      <c r="C1559" t="str">
        <f t="shared" si="1643"/>
        <v>CH</v>
      </c>
      <c r="D1559" t="s">
        <v>1546</v>
      </c>
      <c r="E1559" t="str">
        <f t="shared" si="1646"/>
        <v>PJ/yr.</v>
      </c>
      <c r="F1559" s="1">
        <f>SUM(F1564:F1566)</f>
        <v>15.212267872024771</v>
      </c>
      <c r="G1559" s="1">
        <f t="shared" ref="G1559:K1559" si="1653">SUM(G1564:G1566)</f>
        <v>13.118346840022104</v>
      </c>
      <c r="H1559" s="1">
        <f t="shared" si="1653"/>
        <v>12.128960407297003</v>
      </c>
      <c r="I1559" s="1">
        <f t="shared" si="1653"/>
        <v>8.5975493639850633</v>
      </c>
      <c r="J1559" s="1">
        <f t="shared" si="1653"/>
        <v>5.278899480416924</v>
      </c>
      <c r="K1559" s="1">
        <f t="shared" si="1653"/>
        <v>3.0689841903231008</v>
      </c>
      <c r="L1559" s="1">
        <f t="shared" ref="L1559" si="1654">SUM(L1564:L1566)</f>
        <v>2.7509426991961292</v>
      </c>
      <c r="N1559" s="1"/>
    </row>
    <row r="1560" spans="2:14" x14ac:dyDescent="0.35">
      <c r="B1560" t="str">
        <f t="shared" si="1642"/>
        <v>SPS1</v>
      </c>
      <c r="C1560" t="str">
        <f t="shared" si="1643"/>
        <v>CH</v>
      </c>
      <c r="D1560" t="s">
        <v>1547</v>
      </c>
      <c r="E1560" t="str">
        <f t="shared" si="1646"/>
        <v>PJ/yr.</v>
      </c>
      <c r="F1560" s="1">
        <f>IF(F1559-F1561&lt;0,0,F1559-F1561)</f>
        <v>14.831693590763047</v>
      </c>
      <c r="G1560" s="1">
        <f t="shared" ref="G1560:L1560" si="1655">IF(G1559-G1561&lt;0,0,G1559-G1561)</f>
        <v>12.776473280514745</v>
      </c>
      <c r="H1560" s="1">
        <f t="shared" si="1655"/>
        <v>11.584633626328218</v>
      </c>
      <c r="I1560" s="1">
        <f t="shared" si="1655"/>
        <v>8.2135619355335923</v>
      </c>
      <c r="J1560" s="1">
        <f t="shared" si="1655"/>
        <v>5.0664047647421535</v>
      </c>
      <c r="K1560" s="1">
        <f t="shared" si="1655"/>
        <v>2.9452207686122747</v>
      </c>
      <c r="L1560" s="1">
        <f t="shared" si="1655"/>
        <v>2.6264197795955413</v>
      </c>
      <c r="N1560" s="1"/>
    </row>
    <row r="1561" spans="2:14" x14ac:dyDescent="0.35">
      <c r="B1561" t="str">
        <f t="shared" si="1642"/>
        <v>SPS1</v>
      </c>
      <c r="C1561" t="str">
        <f t="shared" si="1643"/>
        <v>CH</v>
      </c>
      <c r="D1561" t="s">
        <v>1548</v>
      </c>
      <c r="E1561" t="str">
        <f t="shared" si="1646"/>
        <v>PJ/yr.</v>
      </c>
      <c r="F1561" s="1">
        <f>SUM(F1562:F1563)</f>
        <v>0.38057428126172421</v>
      </c>
      <c r="G1561" s="1">
        <f t="shared" ref="G1561:K1561" si="1656">SUM(G1562:G1563)</f>
        <v>0.34187355950735976</v>
      </c>
      <c r="H1561" s="1">
        <f t="shared" si="1656"/>
        <v>0.54432678096878451</v>
      </c>
      <c r="I1561" s="1">
        <f t="shared" si="1656"/>
        <v>0.38398742845147082</v>
      </c>
      <c r="J1561" s="1">
        <f t="shared" si="1656"/>
        <v>0.21249471567477038</v>
      </c>
      <c r="K1561" s="1">
        <f t="shared" si="1656"/>
        <v>0.1237634217108259</v>
      </c>
      <c r="L1561" s="1">
        <f t="shared" ref="L1561" si="1657">SUM(L1562:L1563)</f>
        <v>0.12452291960058791</v>
      </c>
      <c r="N1561" s="1"/>
    </row>
    <row r="1562" spans="2:14" x14ac:dyDescent="0.35">
      <c r="B1562" t="str">
        <f t="shared" si="1642"/>
        <v>SPS1</v>
      </c>
      <c r="C1562" t="str">
        <f t="shared" si="1643"/>
        <v>CH</v>
      </c>
      <c r="D1562" t="s">
        <v>1549</v>
      </c>
      <c r="E1562" t="str">
        <f t="shared" si="1646"/>
        <v>PJ/yr.</v>
      </c>
      <c r="F1562" s="1">
        <f>[1]Transport!B$26/SUM([1]Transport!B$22,[1]Transport!B$26)*F1559*(F$34+F$582)/(F$34+F$582+F$38)</f>
        <v>0.38057428126172421</v>
      </c>
      <c r="G1562" s="1">
        <f>[1]Transport!C$26/SUM([1]Transport!C$22,[1]Transport!C$26)*G1559*(G$34+G$582)/(G$34+G$582+G$38)</f>
        <v>0.34187355950735976</v>
      </c>
      <c r="H1562" s="1">
        <f>[1]Transport!D$26/SUM([1]Transport!D$22,[1]Transport!D$26)*H1559*(H$34+H$582)/(H$34+H$582+H$38)</f>
        <v>0.54432678096878451</v>
      </c>
      <c r="I1562" s="1">
        <f>[1]Transport!E$26/SUM([1]Transport!E$22,[1]Transport!E$26)*I1559*(I$34+I$582)/(I$34+I$582+I$38)</f>
        <v>0.38398742845147082</v>
      </c>
      <c r="J1562" s="1">
        <f>[2]Transport!F$26/SUM([2]Transport!F$22,[2]Transport!F$26)*J1559*(J$34+J$582)/(J$34+J$582+J$38)</f>
        <v>0.21249471567477038</v>
      </c>
      <c r="K1562" s="1">
        <f>[2]Transport!G$26/SUM([2]Transport!G$22,[2]Transport!G$26)*K1559*(K$34+K$582)/(K$34+K$582+K$38)</f>
        <v>0.1237634217108259</v>
      </c>
      <c r="L1562" s="1">
        <f>[2]Transport!H$26/SUM([2]Transport!H$22,[2]Transport!H$26)*L1559*(L$34+L$582)/(L$34+L$582+L$38)</f>
        <v>0.12452291960058791</v>
      </c>
      <c r="N1562" s="1"/>
    </row>
    <row r="1563" spans="2:14" x14ac:dyDescent="0.35">
      <c r="B1563" t="str">
        <f t="shared" si="1642"/>
        <v>SPS1</v>
      </c>
      <c r="C1563" t="str">
        <f t="shared" si="1643"/>
        <v>CH</v>
      </c>
      <c r="D1563" t="s">
        <v>1550</v>
      </c>
      <c r="E1563" t="str">
        <f t="shared" si="1646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42"/>
        <v>SPS1</v>
      </c>
      <c r="C1564" t="str">
        <f t="shared" si="1643"/>
        <v>CH</v>
      </c>
      <c r="D1564" t="s">
        <v>1551</v>
      </c>
      <c r="E1564" t="str">
        <f t="shared" si="1646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10.761507057920186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7.4388079016928179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5.4508198615654564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2.725318563562793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2"/>
        <v>SPS1</v>
      </c>
      <c r="C1565" t="str">
        <f t="shared" si="1643"/>
        <v>CH</v>
      </c>
      <c r="D1565" t="s">
        <v>1552</v>
      </c>
      <c r="E1565" t="str">
        <f t="shared" si="1646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4.4507608141045854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5.2485724090373047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5.2467593135918076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2.0840568214591713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1.2039810031280751E-3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8.6840904482408813E-4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3.2366803756682968E-4</v>
      </c>
      <c r="N1565" s="1"/>
    </row>
    <row r="1566" spans="2:14" x14ac:dyDescent="0.35">
      <c r="B1566" t="str">
        <f t="shared" si="1642"/>
        <v>SPS1</v>
      </c>
      <c r="C1566" t="str">
        <f t="shared" si="1643"/>
        <v>CH</v>
      </c>
      <c r="D1566" t="s">
        <v>1553</v>
      </c>
      <c r="E1566" t="str">
        <f t="shared" si="1646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0.43096652929197987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1.4313812321397388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3.7881739789630986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5.2776954994137961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3.0681157812782769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2.7506190311585623</v>
      </c>
      <c r="N1566" s="1"/>
    </row>
    <row r="1567" spans="2:14" x14ac:dyDescent="0.35">
      <c r="B1567" t="str">
        <f t="shared" si="1642"/>
        <v>SPS1</v>
      </c>
      <c r="C1567" t="str">
        <f t="shared" si="1643"/>
        <v>CH</v>
      </c>
      <c r="D1567" t="s">
        <v>1554</v>
      </c>
      <c r="E1567" t="str">
        <f t="shared" si="1646"/>
        <v>PJ/yr.</v>
      </c>
      <c r="F1567" s="1">
        <f>F1572</f>
        <v>2.582242498167775E-2</v>
      </c>
      <c r="G1567" s="1">
        <f t="shared" ref="G1567:K1567" si="1658">G1572</f>
        <v>2.2265090063061221E-2</v>
      </c>
      <c r="H1567" s="1">
        <f t="shared" si="1658"/>
        <v>3.1606399438431729E-2</v>
      </c>
      <c r="I1567" s="1">
        <f t="shared" si="1658"/>
        <v>1.1006838154287271E-4</v>
      </c>
      <c r="J1567" s="1">
        <f t="shared" si="1658"/>
        <v>9.6342693860404266E-5</v>
      </c>
      <c r="K1567" s="1">
        <f t="shared" si="1658"/>
        <v>9.4047681016482738E-5</v>
      </c>
      <c r="L1567" s="1">
        <f t="shared" ref="L1567" si="1659">L1572</f>
        <v>8.7809272103732042E-5</v>
      </c>
      <c r="N1567" s="1"/>
    </row>
    <row r="1568" spans="2:14" x14ac:dyDescent="0.35">
      <c r="B1568" t="str">
        <f t="shared" si="1642"/>
        <v>SPS1</v>
      </c>
      <c r="C1568" t="str">
        <f t="shared" si="1643"/>
        <v>CH</v>
      </c>
      <c r="D1568" t="s">
        <v>1555</v>
      </c>
      <c r="E1568" t="str">
        <f t="shared" si="1646"/>
        <v>PJ/yr.</v>
      </c>
      <c r="F1568" s="1">
        <f>IF(F1567-F1569&lt;0,0,F1567-F1569)</f>
        <v>2.3889948018923666E-2</v>
      </c>
      <c r="G1568" s="1">
        <f t="shared" ref="G1568:L1568" si="1660">IF(G1567-G1569&lt;0,0,G1567-G1569)</f>
        <v>2.0079329146872188E-2</v>
      </c>
      <c r="H1568" s="1">
        <f t="shared" si="1660"/>
        <v>2.8705649022613487E-2</v>
      </c>
      <c r="I1568" s="1">
        <f t="shared" si="1660"/>
        <v>1.0576529131737429E-4</v>
      </c>
      <c r="J1568" s="1">
        <f t="shared" si="1660"/>
        <v>0</v>
      </c>
      <c r="K1568" s="1">
        <f t="shared" si="1660"/>
        <v>0</v>
      </c>
      <c r="L1568" s="1">
        <f t="shared" si="1660"/>
        <v>0</v>
      </c>
      <c r="N1568" s="1"/>
    </row>
    <row r="1569" spans="2:14" x14ac:dyDescent="0.35">
      <c r="B1569" t="str">
        <f t="shared" si="1642"/>
        <v>SPS1</v>
      </c>
      <c r="C1569" t="str">
        <f t="shared" si="1643"/>
        <v>CH</v>
      </c>
      <c r="D1569" t="s">
        <v>1556</v>
      </c>
      <c r="E1569" t="str">
        <f t="shared" si="1646"/>
        <v>PJ/yr.</v>
      </c>
      <c r="F1569" s="1">
        <f>SUM(F1570:F1571)</f>
        <v>1.9324769627540853E-3</v>
      </c>
      <c r="G1569" s="1">
        <f t="shared" ref="G1569:K1569" si="1661">SUM(G1570:G1571)</f>
        <v>2.1857609161890345E-3</v>
      </c>
      <c r="H1569" s="1">
        <f t="shared" si="1661"/>
        <v>2.9007504158182402E-3</v>
      </c>
      <c r="I1569" s="1">
        <f t="shared" si="1661"/>
        <v>4.3030902254984272E-6</v>
      </c>
      <c r="J1569" s="1">
        <f t="shared" si="1661"/>
        <v>0.25838418102640909</v>
      </c>
      <c r="K1569" s="1">
        <f t="shared" si="1661"/>
        <v>9.8039168345152149E-3</v>
      </c>
      <c r="L1569" s="1">
        <f t="shared" ref="L1569" si="1662">SUM(L1570:L1571)</f>
        <v>2.2887277412024589E-2</v>
      </c>
      <c r="N1569" s="1"/>
    </row>
    <row r="1570" spans="2:14" x14ac:dyDescent="0.35">
      <c r="B1570" t="str">
        <f t="shared" si="1642"/>
        <v>SPS1</v>
      </c>
      <c r="C1570" t="str">
        <f t="shared" si="1643"/>
        <v>CH</v>
      </c>
      <c r="D1570" t="s">
        <v>1557</v>
      </c>
      <c r="E1570" t="str">
        <f t="shared" si="1646"/>
        <v>PJ/yr.</v>
      </c>
      <c r="F1570" s="1">
        <f>[1]Transport!B$27/SUM([1]Transport!B$24,[1]Transport!B$27)*F1567*(F$47+F$614)/(F$47+F$614+F$49)</f>
        <v>1.9324769627540853E-3</v>
      </c>
      <c r="G1570" s="1">
        <f>[1]Transport!C$27/SUM([1]Transport!C$24,[1]Transport!C$27)*G1567*(G$47+G$614)/(G$47+G$614+G$49)</f>
        <v>2.1857609161890345E-3</v>
      </c>
      <c r="H1570" s="1">
        <f>[1]Transport!D$27/SUM([1]Transport!D$24,[1]Transport!D$27)*H1567*(H$47+H$614)/(H$47+H$614+H$49)</f>
        <v>2.9007504158182402E-3</v>
      </c>
      <c r="I1570" s="1">
        <f>[1]Transport!E$27/SUM([1]Transport!E$24,[1]Transport!E$27)*I1567*(I$47+I$614)/(I$47+I$614+I$49)</f>
        <v>4.3030902254984272E-6</v>
      </c>
      <c r="J1570" s="1">
        <f>[2]Transport!F$27/SUM([2]Transport!F$24,[2]Transport!F$27)*J1567*(J$47+J$614)/(J$47+J$614+J$49)</f>
        <v>5.0350936544764022E-6</v>
      </c>
      <c r="K1570" s="1">
        <f>[2]Transport!G$27/SUM([2]Transport!G$24,[2]Transport!G$27)*K1567*(K$47+K$614)/(K$47+K$614+K$49)</f>
        <v>1.2919364614060637E-6</v>
      </c>
      <c r="L1570" s="1">
        <f>[2]Transport!H$27/SUM([2]Transport!H$24,[2]Transport!H$27)*L1567*(L$47+L$614)/(L$47+L$614+L$49)</f>
        <v>2.1378087313881076E-6</v>
      </c>
      <c r="N1570" s="1"/>
    </row>
    <row r="1571" spans="2:14" x14ac:dyDescent="0.35">
      <c r="B1571" t="str">
        <f t="shared" si="1642"/>
        <v>SPS1</v>
      </c>
      <c r="C1571" t="str">
        <f t="shared" si="1643"/>
        <v>CH</v>
      </c>
      <c r="D1571" t="s">
        <v>1558</v>
      </c>
      <c r="E1571" t="str">
        <f t="shared" si="1646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0.25837914593275463</v>
      </c>
      <c r="K1571" s="1">
        <f>(K$49+K$716)/([2]Transport!G$24+[2]Transport!G$27)*K1567</f>
        <v>9.8026248980538095E-3</v>
      </c>
      <c r="L1571" s="1">
        <f>(L$49+L$716)/([2]Transport!H$24+[2]Transport!H$27)*L1567</f>
        <v>2.2885139603293202E-2</v>
      </c>
      <c r="N1571" s="1"/>
    </row>
    <row r="1572" spans="2:14" x14ac:dyDescent="0.35">
      <c r="B1572" t="str">
        <f t="shared" si="1642"/>
        <v>SPS1</v>
      </c>
      <c r="C1572" t="str">
        <f t="shared" si="1643"/>
        <v>CH</v>
      </c>
      <c r="D1572" t="s">
        <v>1559</v>
      </c>
      <c r="E1572" t="str">
        <f t="shared" si="1646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2.582242498167775E-2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2.2265090063061221E-2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3.1606399438431729E-2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1.1006838154287271E-4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9.6342693860404266E-5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9.4047681016482738E-5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8.7809272103732042E-5</v>
      </c>
      <c r="N1572" s="1"/>
    </row>
    <row r="1573" spans="2:14" x14ac:dyDescent="0.35">
      <c r="B1573" s="2" t="str">
        <f t="shared" si="1642"/>
        <v>SPS1</v>
      </c>
      <c r="C1573" s="2" t="str">
        <f t="shared" si="1643"/>
        <v>CH</v>
      </c>
      <c r="D1573" s="2" t="s">
        <v>1560</v>
      </c>
      <c r="E1573" s="2" t="s">
        <v>1517</v>
      </c>
      <c r="F1573" s="3">
        <f>SUM(F1574:F1582)</f>
        <v>4.7786411215635418</v>
      </c>
      <c r="G1573" s="3">
        <f t="shared" ref="G1573:K1573" si="1663">SUM(G1574:G1582)</f>
        <v>4.7700921686757454</v>
      </c>
      <c r="H1573" s="3">
        <f t="shared" si="1663"/>
        <v>4.70767560716655</v>
      </c>
      <c r="I1573" s="3">
        <f t="shared" si="1663"/>
        <v>4.6466638395651536</v>
      </c>
      <c r="J1573" s="3">
        <f t="shared" si="1663"/>
        <v>4.8288023257542401</v>
      </c>
      <c r="K1573" s="3">
        <f t="shared" si="1663"/>
        <v>4.9965618735046853</v>
      </c>
      <c r="L1573" s="3">
        <f t="shared" ref="L1573" si="1664">SUM(L1574:L1582)</f>
        <v>5.4099890455585129</v>
      </c>
      <c r="N1573" s="1"/>
    </row>
    <row r="1574" spans="2:14" x14ac:dyDescent="0.35">
      <c r="B1574" t="str">
        <f t="shared" si="1642"/>
        <v>SPS1</v>
      </c>
      <c r="C1574" t="str">
        <f t="shared" si="1643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2.7954903715017018E-2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2.4242832174881618E-2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1.8635733440193231E-2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9.3158154740924978E-3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2"/>
        <v>SPS1</v>
      </c>
      <c r="C1575" t="str">
        <f t="shared" si="1643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2.4289109601345463E-2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5.3747748967412551E-2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0.21078700198873163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0.85641962116038706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1.6998288395333936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3.1768605108691856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3.7366151785849153</v>
      </c>
      <c r="N1575" s="1"/>
    </row>
    <row r="1576" spans="2:14" x14ac:dyDescent="0.35">
      <c r="B1576" t="str">
        <f t="shared" si="1642"/>
        <v>SPS1</v>
      </c>
      <c r="C1576" t="str">
        <f t="shared" si="1643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5.0670216466196816E-6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8.5079154209976734E-6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4.0056452760387024E-6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2.5322078494973774E-6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2.306263783389333E-6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2.0881146556231374E-6</v>
      </c>
      <c r="N1576" s="1"/>
    </row>
    <row r="1577" spans="2:14" x14ac:dyDescent="0.35">
      <c r="B1577" t="str">
        <f t="shared" si="1642"/>
        <v>SPS1</v>
      </c>
      <c r="C1577" t="str">
        <f t="shared" si="1643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0.23091102158820134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0.49457060796828495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0.15390719332447755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7.6937791289705681E-2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2"/>
        <v>SPS1</v>
      </c>
      <c r="C1578" t="str">
        <f t="shared" si="1643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0.17691355331768635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0.20306471698252013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0.32642424722334512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0.47889610757830181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0.69673711940694916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0.40568348901692142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0.40583678842450527</v>
      </c>
      <c r="N1578" s="1"/>
    </row>
    <row r="1579" spans="2:14" x14ac:dyDescent="0.35">
      <c r="B1579" t="str">
        <f t="shared" si="1642"/>
        <v>SPS1</v>
      </c>
      <c r="C1579" t="str">
        <f t="shared" si="1643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2.7876245893642211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1.9931353152584688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1.5332540467008777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0.76660132278368742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2"/>
        <v>SPS1</v>
      </c>
      <c r="C1580" t="str">
        <f t="shared" si="1643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1.522669870317519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1.7956127959279604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1.794992509661822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0.71298608543716868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4.1189937506596935E-4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2.9709533782953403E-4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1.1073153318551482E-4</v>
      </c>
      <c r="N1580" s="1"/>
    </row>
    <row r="1581" spans="2:14" x14ac:dyDescent="0.35">
      <c r="B1581" t="str">
        <f t="shared" si="1642"/>
        <v>SPS1</v>
      </c>
      <c r="C1581" t="str">
        <f t="shared" si="1643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0.1985754102130862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0.65953408449242001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1.7454678048129719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2.4317910499862028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1.4136883225003518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1.2673961092746009</v>
      </c>
      <c r="N1581" s="1"/>
    </row>
    <row r="1582" spans="2:14" x14ac:dyDescent="0.35">
      <c r="B1582" t="str">
        <f t="shared" si="1642"/>
        <v>SPS1</v>
      </c>
      <c r="C1582" t="str">
        <f t="shared" si="1643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8.2780736595516862E-3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7.1376741614837137E-3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1.0132282419261446E-2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3.5285383562777214E-5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3.0885244778596555E-5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3.014951661266795E-5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2.8149626651334089E-5</v>
      </c>
      <c r="N1582" s="1"/>
    </row>
    <row r="1583" spans="2:14" x14ac:dyDescent="0.35">
      <c r="B1583" s="2" t="str">
        <f t="shared" si="1642"/>
        <v>SPS1</v>
      </c>
      <c r="C1583" s="2" t="str">
        <f t="shared" si="1643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2"/>
        <v>SPS1</v>
      </c>
      <c r="C1584" t="str">
        <f t="shared" si="1643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665">IFERROR(G1574/G1548,"-")</f>
        <v>0.6956464313045051</v>
      </c>
      <c r="H1584" s="1">
        <f t="shared" si="1665"/>
        <v>0.70528179819817083</v>
      </c>
      <c r="I1584" s="1">
        <f t="shared" si="1665"/>
        <v>0.70528179819816994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2"/>
        <v>SPS1</v>
      </c>
      <c r="C1585" t="str">
        <f t="shared" si="1643"/>
        <v>CH</v>
      </c>
      <c r="D1585" t="s">
        <v>1570</v>
      </c>
      <c r="E1585" t="s">
        <v>1576</v>
      </c>
      <c r="F1585" s="1">
        <f>IFERROR(F1575/F1549,"-")</f>
        <v>0.68135756995377339</v>
      </c>
      <c r="G1585" s="1">
        <f t="shared" ref="G1585:K1585" si="1667">IFERROR(G1575/G1549,"-")</f>
        <v>0.68135756995377239</v>
      </c>
      <c r="H1585" s="1">
        <f t="shared" si="1667"/>
        <v>0.68135756995377217</v>
      </c>
      <c r="I1585" s="1">
        <f t="shared" si="1667"/>
        <v>0.68135756995377295</v>
      </c>
      <c r="J1585" s="1">
        <f t="shared" si="1667"/>
        <v>0.68135756995377361</v>
      </c>
      <c r="K1585" s="1">
        <f t="shared" si="1667"/>
        <v>0.68135756995377283</v>
      </c>
      <c r="L1585" s="1">
        <f t="shared" ref="L1585" si="1668">IFERROR(L1575/L1549,"-")</f>
        <v>0.68135756995377195</v>
      </c>
      <c r="N1585" s="1"/>
    </row>
    <row r="1586" spans="2:14" x14ac:dyDescent="0.35">
      <c r="B1586" t="str">
        <f t="shared" si="1642"/>
        <v>SPS1</v>
      </c>
      <c r="C1586" t="str">
        <f t="shared" si="1643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0.4651034317150548</v>
      </c>
      <c r="H1586" s="1">
        <f t="shared" si="1669"/>
        <v>0.47440632095593671</v>
      </c>
      <c r="I1586" s="1">
        <f t="shared" si="1669"/>
        <v>0.49377593599652686</v>
      </c>
      <c r="J1586" s="1">
        <f t="shared" si="1669"/>
        <v>0.5329055662438591</v>
      </c>
      <c r="K1586" s="1">
        <f t="shared" si="1669"/>
        <v>0.56562149963063901</v>
      </c>
      <c r="L1586" s="1">
        <f t="shared" ref="L1586" si="1670">IFERROR(L1576/L1551,"-")</f>
        <v>0.59866501718475684</v>
      </c>
      <c r="N1586" s="1"/>
    </row>
    <row r="1587" spans="2:14" x14ac:dyDescent="0.35">
      <c r="B1587" t="str">
        <f t="shared" si="1642"/>
        <v>SPS1</v>
      </c>
      <c r="C1587" t="str">
        <f t="shared" si="1643"/>
        <v>CH</v>
      </c>
      <c r="D1587" t="s">
        <v>1591</v>
      </c>
      <c r="E1587" t="s">
        <v>1576</v>
      </c>
      <c r="F1587" s="1">
        <f>IFERROR(F1577/F1557,"-")</f>
        <v>0.27758325613681023</v>
      </c>
      <c r="G1587" s="1">
        <f t="shared" ref="G1587:K1587" si="1671">IFERROR(G1577/G1557,"-")</f>
        <v>0.28017034051580081</v>
      </c>
      <c r="H1587" s="1">
        <f t="shared" si="1671"/>
        <v>0.28405096708428684</v>
      </c>
      <c r="I1587" s="1">
        <f t="shared" si="1671"/>
        <v>0.28405096708428695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2"/>
        <v>SPS1</v>
      </c>
      <c r="C1588" t="str">
        <f t="shared" si="1643"/>
        <v>CH</v>
      </c>
      <c r="D1588" t="s">
        <v>1592</v>
      </c>
      <c r="E1588" t="s">
        <v>1576</v>
      </c>
      <c r="F1588" s="1">
        <f>IFERROR(F1578/F1558,"-")</f>
        <v>0.35122961215622089</v>
      </c>
      <c r="G1588" s="1">
        <f t="shared" ref="G1588:K1588" si="1673">IFERROR(G1578/G1558,"-")</f>
        <v>0.35122961215622106</v>
      </c>
      <c r="H1588" s="1">
        <f t="shared" si="1673"/>
        <v>0.35122961215622162</v>
      </c>
      <c r="I1588" s="1">
        <f t="shared" si="1673"/>
        <v>0.35122961215622106</v>
      </c>
      <c r="J1588" s="1">
        <f t="shared" si="1673"/>
        <v>0.35122961215622123</v>
      </c>
      <c r="K1588" s="1">
        <f t="shared" si="1673"/>
        <v>0.35122961215622034</v>
      </c>
      <c r="L1588" s="1">
        <f t="shared" ref="L1588" si="1674">IFERROR(L1578/L1558,"-")</f>
        <v>0.35122961215622056</v>
      </c>
      <c r="N1588" s="1"/>
    </row>
    <row r="1589" spans="2:14" x14ac:dyDescent="0.35">
      <c r="B1589" t="str">
        <f t="shared" si="1642"/>
        <v>SPS1</v>
      </c>
      <c r="C1589" t="str">
        <f t="shared" si="1643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75">IFERROR(G1579/G1564,"-")</f>
        <v>0.26793746277611219</v>
      </c>
      <c r="H1589" s="1">
        <f t="shared" si="1675"/>
        <v>0.28128870255135024</v>
      </c>
      <c r="I1589" s="1">
        <f t="shared" si="1675"/>
        <v>0.28128870255135019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2"/>
        <v>SPS1</v>
      </c>
      <c r="C1590" t="str">
        <f t="shared" si="1643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77">IFERROR(G1580/G1565,"-")</f>
        <v>0.34211451343153182</v>
      </c>
      <c r="H1590" s="1">
        <f t="shared" si="1677"/>
        <v>0.34211451343153237</v>
      </c>
      <c r="I1590" s="1">
        <f t="shared" si="1677"/>
        <v>0.3421145134315316</v>
      </c>
      <c r="J1590" s="1">
        <f t="shared" si="1677"/>
        <v>0.3421145134315321</v>
      </c>
      <c r="K1590" s="1">
        <f t="shared" si="1677"/>
        <v>0.3421145134315316</v>
      </c>
      <c r="L1590" s="1">
        <f t="shared" ref="L1590" si="1678">IFERROR(L1580/L1565,"-")</f>
        <v>0.34211451343153221</v>
      </c>
      <c r="N1590" s="1"/>
    </row>
    <row r="1591" spans="2:14" x14ac:dyDescent="0.35">
      <c r="B1591" t="str">
        <f t="shared" si="1642"/>
        <v>SPS1</v>
      </c>
      <c r="C1591" t="str">
        <f t="shared" si="1643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0.46076759264650768</v>
      </c>
      <c r="H1591" s="1">
        <f t="shared" si="1679"/>
        <v>0.46076759264650813</v>
      </c>
      <c r="I1591" s="1">
        <f t="shared" si="1679"/>
        <v>0.46076759264650841</v>
      </c>
      <c r="J1591" s="1">
        <f t="shared" si="1679"/>
        <v>0.46076759264650763</v>
      </c>
      <c r="K1591" s="1">
        <f t="shared" si="1679"/>
        <v>0.46076759264650802</v>
      </c>
      <c r="L1591" s="1">
        <f t="shared" ref="L1591" si="1680">IFERROR(L1581/L1566,"-")</f>
        <v>0.46076759264650796</v>
      </c>
      <c r="N1591" s="1"/>
    </row>
    <row r="1592" spans="2:14" x14ac:dyDescent="0.35">
      <c r="B1592" t="str">
        <f t="shared" si="1642"/>
        <v>SPS1</v>
      </c>
      <c r="C1592" t="str">
        <f t="shared" si="1643"/>
        <v>CH</v>
      </c>
      <c r="D1592" t="s">
        <v>1575</v>
      </c>
      <c r="E1592" t="s">
        <v>1576</v>
      </c>
      <c r="F1592" s="1">
        <f>IFERROR(F1582/F1572,"-")</f>
        <v>0.32057692743517996</v>
      </c>
      <c r="G1592" s="1">
        <f t="shared" ref="G1592:K1592" si="1681">IFERROR(G1582/G1572,"-")</f>
        <v>0.32057692743517952</v>
      </c>
      <c r="H1592" s="1">
        <f t="shared" si="1681"/>
        <v>0.32057692743518013</v>
      </c>
      <c r="I1592" s="1">
        <f t="shared" si="1681"/>
        <v>0.32057692743518001</v>
      </c>
      <c r="J1592" s="1">
        <f t="shared" si="1681"/>
        <v>0.32057692743517974</v>
      </c>
      <c r="K1592" s="1">
        <f t="shared" si="1681"/>
        <v>0.32057692743518007</v>
      </c>
      <c r="L1592" s="1">
        <f t="shared" ref="L1592" si="1682">IFERROR(L1582/L1572,"-")</f>
        <v>0.32057692743518007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24.512814076833031</v>
      </c>
      <c r="G1593" s="3">
        <f t="shared" ref="G1593" si="1683">G1594+G1597+G1599+G1606+G1614</f>
        <v>22.48462368471079</v>
      </c>
      <c r="H1593" s="3">
        <f t="shared" ref="H1593" si="1684">H1594+H1597+H1599+H1606+H1614</f>
        <v>20.345137757715008</v>
      </c>
      <c r="I1593" s="3">
        <f t="shared" ref="I1593" si="1685">I1594+I1597+I1599+I1606+I1614</f>
        <v>16.564512326386378</v>
      </c>
      <c r="J1593" s="3">
        <f t="shared" ref="J1593" si="1686">J1594+J1597+J1599+J1606+J1614</f>
        <v>14.749936225244738</v>
      </c>
      <c r="K1593" s="3">
        <f t="shared" ref="K1593:L1593" si="1687">K1594+K1597+K1599+K1606+K1614</f>
        <v>15.361337507013205</v>
      </c>
      <c r="L1593" s="3">
        <f t="shared" si="1687"/>
        <v>16.59709352301131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1.0236587003270479E-2</v>
      </c>
      <c r="G1594" s="1">
        <f t="shared" ref="G1594" si="1690">SUM(G1595:G1596)</f>
        <v>2.4766701312120835E-2</v>
      </c>
      <c r="H1594" s="1">
        <f t="shared" ref="H1594" si="1691">SUM(H1595:H1596)</f>
        <v>2.3705073276627919E-2</v>
      </c>
      <c r="I1594" s="1">
        <f t="shared" ref="I1594" si="1692">SUM(I1595:I1596)</f>
        <v>6.1072554479724688E-3</v>
      </c>
      <c r="J1594" s="1">
        <f t="shared" ref="J1594" si="1693">SUM(J1595:J1596)</f>
        <v>2.4073301872544706E-4</v>
      </c>
      <c r="K1594" s="1">
        <f t="shared" ref="K1594:L1594" si="1694">SUM(K1595:K1596)</f>
        <v>2.4209140782373593E-4</v>
      </c>
      <c r="L1594" s="1">
        <f t="shared" si="1694"/>
        <v>2.9313204889170604E-4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1.0236587003270479E-2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2.4766701312120835E-2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2.3705073276627919E-2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6.1072554479724688E-3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2.4073301872544706E-4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2.4209140782373593E-4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2.9313204889170604E-4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2.1487083976774761E-3</v>
      </c>
      <c r="G1597" s="1">
        <f t="shared" ref="G1597" si="1696">G1598</f>
        <v>1.8393459991732693E-4</v>
      </c>
      <c r="H1597" s="1">
        <f t="shared" ref="H1597" si="1697">H1598</f>
        <v>1.9892138861269637E-4</v>
      </c>
      <c r="I1597" s="1">
        <f t="shared" ref="I1597" si="1698">I1598</f>
        <v>1.0913497622864325E-4</v>
      </c>
      <c r="J1597" s="1">
        <f t="shared" ref="J1597" si="1699">J1598</f>
        <v>4.382959766667331E-5</v>
      </c>
      <c r="K1597" s="1">
        <f t="shared" ref="K1597:L1597" si="1700">K1598</f>
        <v>4.2421623250295996E-5</v>
      </c>
      <c r="L1597" s="1">
        <f t="shared" si="1700"/>
        <v>3.8937329764109171E-5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2.1487083976774761E-3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1.8393459991732693E-4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1.9892138861269637E-4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1.0913497622864325E-4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4.382959766667331E-5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4.2421623250295996E-5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3.8937329764109171E-5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 t="shared" ref="L1600" si="1704">L1599-L1601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5">SUM(G1602:G1603)</f>
        <v>0</v>
      </c>
      <c r="H1601" s="1">
        <f t="shared" si="1705"/>
        <v>0</v>
      </c>
      <c r="I1601" s="1">
        <f t="shared" si="1705"/>
        <v>0</v>
      </c>
      <c r="J1601" s="1">
        <f t="shared" si="1705"/>
        <v>0</v>
      </c>
      <c r="K1601" s="1">
        <f t="shared" si="1705"/>
        <v>0</v>
      </c>
      <c r="L1601" s="1">
        <f t="shared" ref="L1601" si="1706">SUM(L1602:L1603)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24.437717021555063</v>
      </c>
      <c r="G1606" s="1">
        <f t="shared" ref="G1606:K1606" si="1707">SUM(G1611:G1613)</f>
        <v>22.455603196598716</v>
      </c>
      <c r="H1606" s="1">
        <f t="shared" si="1707"/>
        <v>20.315553572850213</v>
      </c>
      <c r="I1606" s="1">
        <f t="shared" si="1707"/>
        <v>16.552854759866342</v>
      </c>
      <c r="J1606" s="1">
        <f t="shared" si="1707"/>
        <v>14.748989845182249</v>
      </c>
      <c r="K1606" s="1">
        <f t="shared" si="1707"/>
        <v>15.36040861484765</v>
      </c>
      <c r="L1606" s="1">
        <f t="shared" ref="L1606" si="1708">SUM(L1611:L1613)</f>
        <v>16.596158902857368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23.826344235498684</v>
      </c>
      <c r="G1607" s="1">
        <f t="shared" ref="G1607:L1607" si="1709">IF(G1606-G1608&lt;0,0,G1606-G1608)</f>
        <v>21.870394016712975</v>
      </c>
      <c r="H1607" s="1">
        <f t="shared" si="1709"/>
        <v>19.403826639249573</v>
      </c>
      <c r="I1607" s="1">
        <f t="shared" si="1709"/>
        <v>15.813564077873021</v>
      </c>
      <c r="J1607" s="1">
        <f t="shared" si="1709"/>
        <v>14.155289886456279</v>
      </c>
      <c r="K1607" s="1">
        <f t="shared" si="1709"/>
        <v>14.740966932793937</v>
      </c>
      <c r="L1607" s="1">
        <f t="shared" si="1709"/>
        <v>15.844924730897704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0.61137278605637857</v>
      </c>
      <c r="G1608" s="1">
        <f t="shared" ref="G1608:K1608" si="1710">SUM(G1609:G1610)</f>
        <v>0.58520917988574206</v>
      </c>
      <c r="H1608" s="1">
        <f t="shared" si="1710"/>
        <v>0.91172693360063839</v>
      </c>
      <c r="I1608" s="1">
        <f t="shared" si="1710"/>
        <v>0.73929068199332149</v>
      </c>
      <c r="J1608" s="1">
        <f t="shared" si="1710"/>
        <v>0.59369995872597103</v>
      </c>
      <c r="K1608" s="1">
        <f t="shared" si="1710"/>
        <v>0.61944168205371264</v>
      </c>
      <c r="L1608" s="1">
        <f t="shared" ref="L1608" si="1711">SUM(L1609:L1610)</f>
        <v>0.7512341719596648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0.61137278605637857</v>
      </c>
      <c r="G1609" s="1">
        <f>[1]Transport!C$26/SUM([1]Transport!C$22,[1]Transport!C$26)*G1606*(G$34+G$582)/(G$34+G$582+G$38)</f>
        <v>0.58520917988574206</v>
      </c>
      <c r="H1609" s="1">
        <f>[1]Transport!D$26/SUM([1]Transport!D$22,[1]Transport!D$26)*H1606*(H$34+H$582)/(H$34+H$582+H$38)</f>
        <v>0.91172693360063839</v>
      </c>
      <c r="I1609" s="1">
        <f>[1]Transport!E$26/SUM([1]Transport!E$22,[1]Transport!E$26)*I1606*(I$34+I$582)/(I$34+I$582+I$38)</f>
        <v>0.73929068199332149</v>
      </c>
      <c r="J1609" s="1">
        <f>[2]Transport!F$26/SUM([2]Transport!F$22,[2]Transport!F$26)*J1606*(J$34+J$582)/(J$34+J$582+J$38)</f>
        <v>0.59369995872597103</v>
      </c>
      <c r="K1609" s="1">
        <f>[2]Transport!G$26/SUM([2]Transport!G$22,[2]Transport!G$26)*K1606*(K$34+K$582)/(K$34+K$582+K$38)</f>
        <v>0.61944168205371264</v>
      </c>
      <c r="L1609" s="1">
        <f>[2]Transport!H$26/SUM([2]Transport!H$22,[2]Transport!H$26)*L1606*(L$34+L$582)/(L$34+L$582+L$38)</f>
        <v>0.7512341719596648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19.239089883182917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15.558996042677476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11.474365794336871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4.9485862483134904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5.198627138372145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4.8046188807438899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4.3419388057865804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0.43932563911511552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2.6900317695685263E-4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3.8421177699347675E-4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1.2107572848310208E-4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2.0919882731773516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4.4992489727267619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11.164942872437734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14.748720842005293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15.360024403070657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16.596037827128885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6.2711759877021683E-2</v>
      </c>
      <c r="G1614" s="1">
        <f t="shared" ref="G1614:K1614" si="1712">G1619</f>
        <v>4.0698522000365313E-3</v>
      </c>
      <c r="H1614" s="1">
        <f t="shared" si="1712"/>
        <v>5.6801901995569533E-3</v>
      </c>
      <c r="I1614" s="1">
        <f t="shared" si="1712"/>
        <v>5.4411760958365859E-3</v>
      </c>
      <c r="J1614" s="1">
        <f t="shared" si="1712"/>
        <v>6.6181744609744998E-4</v>
      </c>
      <c r="K1614" s="1">
        <f t="shared" si="1712"/>
        <v>6.4437913448166597E-4</v>
      </c>
      <c r="L1614" s="1">
        <f t="shared" ref="L1614" si="1713">L1619</f>
        <v>6.0255077528720876E-4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5.8018589838107842E-2</v>
      </c>
      <c r="G1615" s="1">
        <f t="shared" ref="G1615:L1615" si="1714">IF(G1614-G1616&lt;0,0,G1614-G1616)</f>
        <v>3.6703153534165299E-3</v>
      </c>
      <c r="H1615" s="1">
        <f t="shared" si="1714"/>
        <v>5.158877605397412E-3</v>
      </c>
      <c r="I1615" s="1">
        <f t="shared" si="1714"/>
        <v>5.2284549551692254E-3</v>
      </c>
      <c r="J1615" s="1">
        <f t="shared" si="1714"/>
        <v>0</v>
      </c>
      <c r="K1615" s="1">
        <f t="shared" si="1714"/>
        <v>0</v>
      </c>
      <c r="L1615" s="1">
        <f t="shared" si="1714"/>
        <v>0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4.6931700389138435E-3</v>
      </c>
      <c r="G1616" s="1">
        <f t="shared" ref="G1616:K1616" si="1715">SUM(G1617:G1618)</f>
        <v>3.9953684662000135E-4</v>
      </c>
      <c r="H1616" s="1">
        <f t="shared" si="1715"/>
        <v>5.2131259415954167E-4</v>
      </c>
      <c r="I1616" s="1">
        <f t="shared" si="1715"/>
        <v>2.1272114066736025E-4</v>
      </c>
      <c r="J1616" s="1">
        <f t="shared" si="1715"/>
        <v>6.9640556782980887E-4</v>
      </c>
      <c r="K1616" s="1">
        <f t="shared" si="1715"/>
        <v>6.5323099440854973E-4</v>
      </c>
      <c r="L1616" s="1">
        <f t="shared" ref="L1616" si="1716">SUM(L1617:L1618)</f>
        <v>6.1722050523317564E-4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4.6931700389138435E-3</v>
      </c>
      <c r="G1617" s="1">
        <f>[1]Transport!C$27/SUM([1]Transport!C$24,[1]Transport!C$27)*G1614*(G$47+G$614)/(G$47+G$614+G$49)</f>
        <v>3.9953684662000135E-4</v>
      </c>
      <c r="H1617" s="1">
        <f>[1]Transport!D$27/SUM([1]Transport!D$24,[1]Transport!D$27)*H1614*(H$47+H$614)/(H$47+H$614+H$49)</f>
        <v>5.2131259415954167E-4</v>
      </c>
      <c r="I1617" s="1">
        <f>[1]Transport!E$27/SUM([1]Transport!E$24,[1]Transport!E$27)*I1614*(I$47+I$614)/(I$47+I$614+I$49)</f>
        <v>2.1272114066736025E-4</v>
      </c>
      <c r="J1617" s="1">
        <f>[2]Transport!F$27/SUM([2]Transport!F$24,[2]Transport!F$27)*J1614*(J$47+J$614)/(J$47+J$614+J$49)</f>
        <v>3.4588121732358895E-5</v>
      </c>
      <c r="K1617" s="1">
        <f>[2]Transport!G$27/SUM([2]Transport!G$24,[2]Transport!G$27)*K1614*(K$47+K$614)/(K$47+K$614+K$49)</f>
        <v>8.8518599268837124E-6</v>
      </c>
      <c r="L1617" s="1">
        <f>[2]Transport!H$27/SUM([2]Transport!H$24,[2]Transport!H$27)*L1614*(L$47+L$614)/(L$47+L$614+L$49)</f>
        <v>1.466972994596684E-5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6.6181744609744998E-4</v>
      </c>
      <c r="K1618" s="1">
        <f>IF((K$49+K$716)/([2]Transport!G$24+[2]Transport!G$27)*K1614&gt;K1614,K1614,(K$49+K$716)/([2]Transport!G$24+[2]Transport!G$27)*K1614)</f>
        <v>6.4437913448166597E-4</v>
      </c>
      <c r="L1618" s="1">
        <f>IF((L$49+L$716)/([2]Transport!H$24+[2]Transport!H$27)*L1614&gt;L1614,L1614,(L$49+L$716)/([2]Transport!H$24+[2]Transport!H$27)*L1614)</f>
        <v>6.0255077528720876E-4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6.2711759877021683E-2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4.0698522000365313E-3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5.6801901995569533E-3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5.4411760958365859E-3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6.6181744609744998E-4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6.4437913448166597E-4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6.0255077528720876E-4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2.2034082343554204</v>
      </c>
      <c r="G1620" s="3">
        <f t="shared" ref="G1620" si="1717">SUM(G1621:G1629)</f>
        <v>2.2263445037579528</v>
      </c>
      <c r="H1620" s="3">
        <f t="shared" ref="H1620" si="1718">SUM(H1621:H1629)</f>
        <v>2.2568834577116199</v>
      </c>
      <c r="I1620" s="3">
        <f t="shared" ref="I1620" si="1719">SUM(I1621:I1629)</f>
        <v>2.310358094685204</v>
      </c>
      <c r="J1620" s="3">
        <f t="shared" ref="J1620" si="1720">SUM(J1621:J1629)</f>
        <v>2.4111156780564498</v>
      </c>
      <c r="K1620" s="3">
        <f t="shared" ref="K1620:L1620" si="1721">SUM(K1621:K1629)</f>
        <v>2.5110609707624927</v>
      </c>
      <c r="L1620" s="3">
        <f t="shared" si="1721"/>
        <v>2.7131013767089622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2.7508551380735608E-3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6.6967223268505011E-3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6.4174225023840301E-3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1.67166583851276E-3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7.1886318857366193E-5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7.5856914949095342E-5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9.8850023904978817E-5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3.748609408869645E-4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3.2232611772582516E-5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3.4946160017248713E-5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1.9762372462176124E-5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8.539436400866999E-6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8.3869486223444837E-6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8.5237635005272134E-6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1.5767138670050349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1.3068967085689625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0.99895867310421316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0.4308240857021321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0.61709531429400066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0.57032514919005084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0.51540339799041424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5.2149497575247707E-2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3.1931622640329164E-5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4.5607288418358877E-5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1.4372114547351585E-5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0.34197073763963454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0.73547806637121538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1.8250980651975321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2.4109269684964509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2.5108548372993464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2.7129020608794789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6.4733369774244778E-3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4.2295342068182016E-4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5.9095158337577113E-4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5.9501799931725512E-4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7.635218210018945E-5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7.6282311156665415E-5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7.7569927530466145E-5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2">IFERROR(G1621/G1595,"-")</f>
        <v>-</v>
      </c>
      <c r="H1631" s="1" t="str">
        <f t="shared" si="1722"/>
        <v>-</v>
      </c>
      <c r="I1631" s="1" t="str">
        <f t="shared" si="1722"/>
        <v>-</v>
      </c>
      <c r="J1631" s="1" t="str">
        <f t="shared" si="1722"/>
        <v>-</v>
      </c>
      <c r="K1631" s="1" t="str">
        <f t="shared" si="1722"/>
        <v>-</v>
      </c>
      <c r="L1631" s="1" t="str">
        <f t="shared" ref="L1631" si="1723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4">E1631</f>
        <v>km/MJ</v>
      </c>
      <c r="F1632" s="1">
        <f>IFERROR(F1622/F1596,"-")</f>
        <v>0.26872776416540906</v>
      </c>
      <c r="G1632" s="1">
        <f t="shared" ref="G1632:K1632" si="1725">IFERROR(G1622/G1596,"-")</f>
        <v>0.27039217869410498</v>
      </c>
      <c r="H1632" s="1">
        <f t="shared" si="1725"/>
        <v>0.2707193699633616</v>
      </c>
      <c r="I1632" s="1">
        <f t="shared" si="1725"/>
        <v>0.27371801503206022</v>
      </c>
      <c r="J1632" s="1">
        <f t="shared" si="1725"/>
        <v>0.29861428747068397</v>
      </c>
      <c r="K1632" s="1">
        <f t="shared" si="1725"/>
        <v>0.31333997200068298</v>
      </c>
      <c r="L1632" s="1">
        <f t="shared" ref="L1632" si="1726">IFERROR(L1622/L1596,"-")</f>
        <v>0.33722011727724016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4"/>
        <v>km/MJ</v>
      </c>
      <c r="F1633" s="1">
        <f>IFERROR(F1623/F1598,"-")</f>
        <v>0.17445873125089895</v>
      </c>
      <c r="G1633" s="1">
        <f t="shared" ref="G1633:K1633" si="1727">IFERROR(G1623/G1598,"-")</f>
        <v>0.17523952419539393</v>
      </c>
      <c r="H1633" s="1">
        <f t="shared" si="1727"/>
        <v>0.17567824285245431</v>
      </c>
      <c r="I1633" s="1">
        <f t="shared" si="1727"/>
        <v>0.18108193308049073</v>
      </c>
      <c r="J1633" s="1">
        <f t="shared" si="1727"/>
        <v>0.19483264404592349</v>
      </c>
      <c r="K1633" s="1">
        <f t="shared" si="1727"/>
        <v>0.19770456620341523</v>
      </c>
      <c r="L1633" s="1">
        <f t="shared" ref="L1633" si="1728">IFERROR(L1623/L1598,"-")</f>
        <v>0.21890981102623192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4"/>
        <v>km/MJ</v>
      </c>
      <c r="F1634" s="1" t="str">
        <f>IFERROR(F1624/F1604,"-")</f>
        <v>-</v>
      </c>
      <c r="G1634" s="1" t="str">
        <f t="shared" ref="G1634:K1634" si="1729">IFERROR(G1624/G1604,"-")</f>
        <v>-</v>
      </c>
      <c r="H1634" s="1" t="str">
        <f t="shared" si="1729"/>
        <v>-</v>
      </c>
      <c r="I1634" s="1" t="str">
        <f t="shared" si="1729"/>
        <v>-</v>
      </c>
      <c r="J1634" s="1" t="str">
        <f t="shared" si="1729"/>
        <v>-</v>
      </c>
      <c r="K1634" s="1" t="str">
        <f t="shared" si="1729"/>
        <v>-</v>
      </c>
      <c r="L1634" s="1" t="str">
        <f t="shared" ref="L1634" si="1730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4"/>
        <v>km/MJ</v>
      </c>
      <c r="F1635" s="1" t="str">
        <f>IFERROR(F1625/F1605,"-")</f>
        <v>-</v>
      </c>
      <c r="G1635" s="1" t="str">
        <f t="shared" ref="G1635:K1635" si="1731">IFERROR(G1625/G1605,"-")</f>
        <v>-</v>
      </c>
      <c r="H1635" s="1" t="str">
        <f t="shared" si="1731"/>
        <v>-</v>
      </c>
      <c r="I1635" s="1" t="str">
        <f t="shared" si="1731"/>
        <v>-</v>
      </c>
      <c r="J1635" s="1" t="str">
        <f t="shared" si="1731"/>
        <v>-</v>
      </c>
      <c r="K1635" s="1" t="str">
        <f t="shared" si="1731"/>
        <v>-</v>
      </c>
      <c r="L1635" s="1" t="str">
        <f t="shared" ref="L1635" si="1732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4"/>
        <v>km/MJ</v>
      </c>
      <c r="F1636" s="1">
        <f>IFERROR(F1626/F1611,"-")</f>
        <v>8.1953661871669747E-2</v>
      </c>
      <c r="G1636" s="1">
        <f t="shared" ref="G1636:K1636" si="1733">IFERROR(G1626/G1611,"-")</f>
        <v>8.3996210615660302E-2</v>
      </c>
      <c r="H1636" s="1">
        <f t="shared" si="1733"/>
        <v>8.7060033731646017E-2</v>
      </c>
      <c r="I1636" s="1">
        <f t="shared" si="1733"/>
        <v>8.7060033731646017E-2</v>
      </c>
      <c r="J1636" s="1" t="str">
        <f t="shared" si="1733"/>
        <v>-</v>
      </c>
      <c r="K1636" s="1" t="str">
        <f t="shared" si="1733"/>
        <v>-</v>
      </c>
      <c r="L1636" s="1" t="str">
        <f t="shared" ref="L1636" si="1734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4"/>
        <v>km/MJ</v>
      </c>
      <c r="F1637" s="1">
        <f>IFERROR(F1627/F1612,"-")</f>
        <v>0.1187035149605349</v>
      </c>
      <c r="G1637" s="1">
        <f t="shared" ref="G1637:K1637" si="1735">IFERROR(G1627/G1612,"-")</f>
        <v>0.11870351496053491</v>
      </c>
      <c r="H1637" s="1">
        <f t="shared" si="1735"/>
        <v>0.11870351496053487</v>
      </c>
      <c r="I1637" s="1">
        <f t="shared" si="1735"/>
        <v>0.11870351496053498</v>
      </c>
      <c r="J1637" s="1">
        <f t="shared" si="1735"/>
        <v>0.11870351496053487</v>
      </c>
      <c r="K1637" s="1">
        <f t="shared" si="1735"/>
        <v>0.11870351496053493</v>
      </c>
      <c r="L1637" s="1">
        <f t="shared" ref="L1637" si="1736">IFERROR(L1627/L1612,"-")</f>
        <v>0.11870351496053504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4"/>
        <v>km/MJ</v>
      </c>
      <c r="F1638" s="1" t="str">
        <f>IFERROR(F1628/F1613,"-")</f>
        <v>-</v>
      </c>
      <c r="G1638" s="1">
        <f t="shared" ref="G1638:K1638" si="1737">IFERROR(G1628/G1613,"-")</f>
        <v>0.16346685209675813</v>
      </c>
      <c r="H1638" s="1">
        <f t="shared" si="1737"/>
        <v>0.16346685209675788</v>
      </c>
      <c r="I1638" s="1">
        <f t="shared" si="1737"/>
        <v>0.16346685209675804</v>
      </c>
      <c r="J1638" s="1">
        <f t="shared" si="1737"/>
        <v>0.16346685209675799</v>
      </c>
      <c r="K1638" s="1">
        <f t="shared" si="1737"/>
        <v>0.16346685209675813</v>
      </c>
      <c r="L1638" s="1">
        <f t="shared" ref="L1638" si="1738">IFERROR(L1628/L1613,"-")</f>
        <v>0.16346685209675801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4"/>
        <v>km/MJ</v>
      </c>
      <c r="F1639" s="1">
        <f>IFERROR(F1629/F1619,"-")</f>
        <v>0.10322365358776008</v>
      </c>
      <c r="G1639" s="1">
        <f t="shared" ref="G1639:K1639" si="1739">IFERROR(G1629/G1619,"-")</f>
        <v>0.10392353331111721</v>
      </c>
      <c r="H1639" s="1">
        <f t="shared" si="1739"/>
        <v>0.10403728794536925</v>
      </c>
      <c r="I1639" s="1">
        <f t="shared" si="1739"/>
        <v>0.10935466686559618</v>
      </c>
      <c r="J1639" s="1">
        <f t="shared" si="1739"/>
        <v>0.11536743636846783</v>
      </c>
      <c r="K1639" s="1">
        <f t="shared" si="1739"/>
        <v>0.11838110062025266</v>
      </c>
      <c r="L1639" s="1">
        <f t="shared" ref="L1639" si="1740">IFERROR(L1629/L1619,"-")</f>
        <v>0.12873591855141511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28.743325214240478</v>
      </c>
      <c r="G1640" s="1">
        <f t="shared" ref="G1640:K1640" si="1741">G1641+G1645+G1649+G1655</f>
        <v>27.887781739748313</v>
      </c>
      <c r="H1640" s="1">
        <f t="shared" si="1741"/>
        <v>27.127084106375847</v>
      </c>
      <c r="I1640" s="1">
        <f t="shared" si="1741"/>
        <v>26.895295073935472</v>
      </c>
      <c r="J1640" s="1">
        <f t="shared" si="1741"/>
        <v>27.481207032144898</v>
      </c>
      <c r="K1640" s="1">
        <f t="shared" si="1741"/>
        <v>23.139928838598909</v>
      </c>
      <c r="L1640" s="1">
        <f t="shared" ref="L1640" si="1742">L1641+L1645+L1649+L1655</f>
        <v>20.666523196063423</v>
      </c>
      <c r="N1640" s="1"/>
    </row>
    <row r="1641" spans="2:14" x14ac:dyDescent="0.35">
      <c r="B1641" t="str">
        <f t="shared" ref="B1641:B1662" si="1743">B1640</f>
        <v>SPS1</v>
      </c>
      <c r="C1641" t="str">
        <f t="shared" ref="C1641:C1687" si="1744">C1640</f>
        <v>CH</v>
      </c>
      <c r="D1641" t="s">
        <v>1652</v>
      </c>
      <c r="E1641" t="s">
        <v>8</v>
      </c>
      <c r="F1641" s="1">
        <f>SUM(F1642:F1644)</f>
        <v>9.2070288128700302</v>
      </c>
      <c r="G1641" s="1">
        <f t="shared" ref="G1641:K1641" si="1745">SUM(G1642:G1644)</f>
        <v>9.5325227643857939</v>
      </c>
      <c r="H1641" s="1">
        <f t="shared" si="1745"/>
        <v>9.9905715764277367</v>
      </c>
      <c r="I1641" s="1">
        <f t="shared" si="1745"/>
        <v>10.642520841766235</v>
      </c>
      <c r="J1641" s="1">
        <f t="shared" si="1745"/>
        <v>11.227995765137567</v>
      </c>
      <c r="K1641" s="1">
        <f t="shared" si="1745"/>
        <v>15.039062656798496</v>
      </c>
      <c r="L1641" s="1">
        <f t="shared" ref="L1641" si="1746">SUM(L1642:L1644)</f>
        <v>18.623556893131063</v>
      </c>
      <c r="N1641" s="1"/>
    </row>
    <row r="1642" spans="2:14" x14ac:dyDescent="0.35">
      <c r="B1642" t="str">
        <f t="shared" si="1743"/>
        <v>SPS1</v>
      </c>
      <c r="C1642" t="str">
        <f t="shared" si="1744"/>
        <v>CH</v>
      </c>
      <c r="D1642" t="s">
        <v>1653</v>
      </c>
      <c r="E1642" t="str">
        <f t="shared" ref="E1642:E1644" si="1747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9.7093048137672113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10.452559437065972</v>
      </c>
      <c r="N1642" s="1"/>
    </row>
    <row r="1643" spans="2:14" x14ac:dyDescent="0.35">
      <c r="B1643" t="str">
        <f t="shared" si="1743"/>
        <v>SPS1</v>
      </c>
      <c r="C1643" t="str">
        <f t="shared" si="1744"/>
        <v>CH</v>
      </c>
      <c r="D1643" t="s">
        <v>1654</v>
      </c>
      <c r="E1643" t="str">
        <f t="shared" si="1747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1.5023087997690843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1.5903477002800355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1.7463998426698581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1.8944363750162725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1.9814933689515257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2.0283086876930034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2.1805289379822974</v>
      </c>
      <c r="N1643" s="1"/>
    </row>
    <row r="1644" spans="2:14" x14ac:dyDescent="0.35">
      <c r="B1644" t="str">
        <f t="shared" si="1743"/>
        <v>SPS1</v>
      </c>
      <c r="C1644" t="str">
        <f t="shared" si="1744"/>
        <v>CH</v>
      </c>
      <c r="D1644" t="s">
        <v>1655</v>
      </c>
      <c r="E1644" t="str">
        <f t="shared" si="1747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3.6269627254836186E-2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3.6270281453525711E-2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3.6274469573881467E-2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3.629701925544062E-2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3.3014491553382803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5.9904685180827935</v>
      </c>
      <c r="N1644" s="1"/>
    </row>
    <row r="1645" spans="2:14" x14ac:dyDescent="0.35">
      <c r="B1645" t="str">
        <f t="shared" si="1743"/>
        <v>SPS1</v>
      </c>
      <c r="C1645" t="str">
        <f t="shared" si="1744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8">SUM(G1646:G1648)</f>
        <v>0</v>
      </c>
      <c r="H1645" s="1">
        <f t="shared" si="1748"/>
        <v>0</v>
      </c>
      <c r="I1645" s="1">
        <f t="shared" si="1748"/>
        <v>0</v>
      </c>
      <c r="J1645" s="1">
        <f t="shared" si="1748"/>
        <v>3.6778785858664085E-6</v>
      </c>
      <c r="K1645" s="1">
        <f t="shared" si="1748"/>
        <v>4.1699035020720036E-6</v>
      </c>
      <c r="L1645" s="1">
        <f t="shared" ref="L1645" si="1749">SUM(L1646:L1648)</f>
        <v>5.8899519422333453E-5</v>
      </c>
      <c r="N1645" s="1"/>
    </row>
    <row r="1646" spans="2:14" x14ac:dyDescent="0.35">
      <c r="B1646" t="str">
        <f t="shared" si="1743"/>
        <v>SPS1</v>
      </c>
      <c r="C1646" t="str">
        <f t="shared" si="1744"/>
        <v>CH</v>
      </c>
      <c r="D1646" t="s">
        <v>1657</v>
      </c>
      <c r="E1646" t="str">
        <f t="shared" ref="E1646:E1648" si="1750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1.2263015188546992E-5</v>
      </c>
      <c r="N1646" s="1"/>
    </row>
    <row r="1647" spans="2:14" x14ac:dyDescent="0.35">
      <c r="B1647" t="str">
        <f t="shared" si="1743"/>
        <v>SPS1</v>
      </c>
      <c r="C1647" t="str">
        <f t="shared" si="1744"/>
        <v>CH</v>
      </c>
      <c r="D1647" t="s">
        <v>1658</v>
      </c>
      <c r="E1647" t="str">
        <f t="shared" si="1750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3"/>
        <v>SPS1</v>
      </c>
      <c r="C1648" t="str">
        <f t="shared" si="1744"/>
        <v>CH</v>
      </c>
      <c r="D1648" t="s">
        <v>1659</v>
      </c>
      <c r="E1648" t="str">
        <f t="shared" si="1750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3.6778785858664085E-6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4.1699035020720036E-6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4.6636504233786458E-5</v>
      </c>
      <c r="N1648" s="1"/>
    </row>
    <row r="1649" spans="2:14" x14ac:dyDescent="0.35">
      <c r="B1649" t="str">
        <f t="shared" si="1743"/>
        <v>SPS1</v>
      </c>
      <c r="C1649" t="str">
        <f t="shared" si="1744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51">G1654</f>
        <v>0.69756674035842603</v>
      </c>
      <c r="H1649" s="1">
        <f t="shared" si="1751"/>
        <v>2.4270407462273076E-5</v>
      </c>
      <c r="I1649" s="1">
        <f t="shared" si="1751"/>
        <v>2.3089611959390059E-5</v>
      </c>
      <c r="J1649" s="1">
        <f t="shared" si="1751"/>
        <v>5.7220284233197227E-3</v>
      </c>
      <c r="K1649" s="1">
        <f t="shared" si="1751"/>
        <v>2.0061714624710104E-3</v>
      </c>
      <c r="L1649" s="1">
        <f t="shared" ref="L1649" si="1752">L1654</f>
        <v>0</v>
      </c>
      <c r="N1649" s="1"/>
    </row>
    <row r="1650" spans="2:14" x14ac:dyDescent="0.35">
      <c r="B1650" t="str">
        <f t="shared" si="1743"/>
        <v>SPS1</v>
      </c>
      <c r="C1650" t="str">
        <f t="shared" si="1744"/>
        <v>CH</v>
      </c>
      <c r="D1650" t="s">
        <v>1661</v>
      </c>
      <c r="E1650" t="str">
        <f t="shared" ref="E1650:E1662" si="1753">E1649</f>
        <v>PJ/yr.</v>
      </c>
      <c r="F1650" s="1">
        <f>F1649-F1651</f>
        <v>1.6634751643659509</v>
      </c>
      <c r="G1650" s="1">
        <f t="shared" ref="G1650:K1650" si="1754">G1649-G1651</f>
        <v>0.65938156516117052</v>
      </c>
      <c r="H1650" s="1">
        <f t="shared" si="1754"/>
        <v>2.294183689504705E-5</v>
      </c>
      <c r="I1650" s="1">
        <f t="shared" si="1754"/>
        <v>2.1825224821234534E-5</v>
      </c>
      <c r="J1650" s="1">
        <f t="shared" si="1754"/>
        <v>5.3961818200954515E-3</v>
      </c>
      <c r="K1650" s="1">
        <f t="shared" si="1754"/>
        <v>1.8963500683647206E-3</v>
      </c>
      <c r="L1650" s="1">
        <f t="shared" ref="L1650" si="1755">L1649-L1651</f>
        <v>0</v>
      </c>
      <c r="N1650" s="1"/>
    </row>
    <row r="1651" spans="2:14" x14ac:dyDescent="0.35">
      <c r="B1651" t="str">
        <f t="shared" si="1743"/>
        <v>SPS1</v>
      </c>
      <c r="C1651" t="str">
        <f t="shared" si="1744"/>
        <v>CH</v>
      </c>
      <c r="D1651" t="s">
        <v>1662</v>
      </c>
      <c r="E1651" t="str">
        <f t="shared" si="1753"/>
        <v>PJ/yr.</v>
      </c>
      <c r="F1651" s="1">
        <f>SUM(F1652:F1653)</f>
        <v>9.6332599362407068E-2</v>
      </c>
      <c r="G1651" s="1">
        <f t="shared" ref="G1651:K1651" si="1756">SUM(G1652:G1653)</f>
        <v>3.8185175197255471E-2</v>
      </c>
      <c r="H1651" s="1">
        <f t="shared" si="1756"/>
        <v>1.3285705672260266E-6</v>
      </c>
      <c r="I1651" s="1">
        <f t="shared" si="1756"/>
        <v>1.264387138155525E-6</v>
      </c>
      <c r="J1651" s="1">
        <f t="shared" si="1756"/>
        <v>3.2584660322427096E-4</v>
      </c>
      <c r="K1651" s="1">
        <f t="shared" si="1756"/>
        <v>1.0982139410628983E-4</v>
      </c>
      <c r="L1651" s="1">
        <f t="shared" ref="L1651" si="1757">SUM(L1652:L1653)</f>
        <v>0</v>
      </c>
      <c r="N1651" s="1"/>
    </row>
    <row r="1652" spans="2:14" x14ac:dyDescent="0.35">
      <c r="B1652" t="str">
        <f t="shared" si="1743"/>
        <v>SPS1</v>
      </c>
      <c r="C1652" t="str">
        <f t="shared" si="1744"/>
        <v>CH</v>
      </c>
      <c r="D1652" t="s">
        <v>1663</v>
      </c>
      <c r="E1652" t="str">
        <f t="shared" si="1753"/>
        <v>PJ/yr.</v>
      </c>
      <c r="F1652" s="1">
        <f>[1]Transport!B$25/SUM([1]Transport!B$21,[1]Transport!B$25)*F1649*(F$35+F$600)/(F$35+F$600+F$39)</f>
        <v>9.6332599362407068E-2</v>
      </c>
      <c r="G1652" s="1">
        <f>[1]Transport!C$25/SUM([1]Transport!C$21,[1]Transport!C$25)*G1649*(G$35+G$600)/(G$35+G$600+G$39)</f>
        <v>3.8185175197255471E-2</v>
      </c>
      <c r="H1652" s="1">
        <f>[1]Transport!D$25/SUM([1]Transport!D$21,[1]Transport!D$25)*H1649*(H$35+H$600)/(H$35+H$600+H$39)</f>
        <v>1.3285705672260266E-6</v>
      </c>
      <c r="I1652" s="1">
        <f>[1]Transport!E$25/SUM([1]Transport!E$21,[1]Transport!E$25)*I1649*(I$35+I$600)/(I$35+I$600+I$39)</f>
        <v>1.264387138155525E-6</v>
      </c>
      <c r="J1652" s="1">
        <f>[2]Transport!F$25/SUM([2]Transport!F$21,[2]Transport!F$25)*J1649*(J$35+J$600)/(J$35+J$600+J$39)</f>
        <v>3.2584660322427096E-4</v>
      </c>
      <c r="K1652" s="1">
        <f>[2]Transport!G$25/SUM([2]Transport!G$21,[2]Transport!G$25)*K1649*(K$35+K$600)/(K$35+K$600+K$39)</f>
        <v>1.0982139410628983E-4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43"/>
        <v>SPS1</v>
      </c>
      <c r="C1653" t="str">
        <f t="shared" si="1744"/>
        <v>CH</v>
      </c>
      <c r="D1653" t="s">
        <v>1664</v>
      </c>
      <c r="E1653" t="str">
        <f t="shared" si="1753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43"/>
        <v>SPS1</v>
      </c>
      <c r="C1654" t="str">
        <f t="shared" si="1744"/>
        <v>CH</v>
      </c>
      <c r="D1654" t="s">
        <v>1665</v>
      </c>
      <c r="E1654" t="str">
        <f t="shared" si="1753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0.69756674035842603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2.4270407462273076E-5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2.3089611959390059E-5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5.7220284233197227E-3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2.0061714624710104E-3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3"/>
        <v>SPS1</v>
      </c>
      <c r="C1655" t="str">
        <f t="shared" si="1744"/>
        <v>CH</v>
      </c>
      <c r="D1655" t="s">
        <v>1666</v>
      </c>
      <c r="E1655" t="str">
        <f t="shared" si="1753"/>
        <v>PJ/yr.</v>
      </c>
      <c r="F1655" s="1">
        <f>[1]TRA_FuelByFleet!F$99</f>
        <v>17.776488637642093</v>
      </c>
      <c r="G1655" s="1">
        <f>[1]TRA_FuelByFleet!G$99</f>
        <v>17.657692235004092</v>
      </c>
      <c r="H1655" s="1">
        <f>[1]TRA_FuelByFleet!H$99</f>
        <v>17.136488259540648</v>
      </c>
      <c r="I1655" s="1">
        <f>[1]TRA_FuelByFleet!I$99</f>
        <v>16.252751142557276</v>
      </c>
      <c r="J1655" s="1">
        <f>[2]TRA_FuelByFleet!J$99</f>
        <v>16.247485560705424</v>
      </c>
      <c r="K1655" s="1">
        <f>[2]TRA_FuelByFleet!K$99</f>
        <v>8.0988558404344406</v>
      </c>
      <c r="L1655" s="1">
        <f>[2]TRA_FuelByFleet!L$99</f>
        <v>2.0429074034129351</v>
      </c>
      <c r="N1655" s="1"/>
    </row>
    <row r="1656" spans="2:14" x14ac:dyDescent="0.35">
      <c r="B1656" t="str">
        <f t="shared" si="1743"/>
        <v>SPS1</v>
      </c>
      <c r="C1656" t="str">
        <f t="shared" si="1744"/>
        <v>CH</v>
      </c>
      <c r="D1656" t="s">
        <v>1667</v>
      </c>
      <c r="E1656" t="str">
        <f t="shared" si="1753"/>
        <v>PJ/yr.</v>
      </c>
      <c r="F1656" s="1">
        <f>F1655-F1657</f>
        <v>17.331763732483861</v>
      </c>
      <c r="G1656" s="1">
        <f t="shared" ref="G1656:K1656" si="1758">G1655-G1657</f>
        <v>17.197520067681204</v>
      </c>
      <c r="H1656" s="1">
        <f t="shared" si="1758"/>
        <v>16.367432282920152</v>
      </c>
      <c r="I1656" s="1">
        <f t="shared" si="1758"/>
        <v>15.526863816729865</v>
      </c>
      <c r="J1656" s="1">
        <f t="shared" si="1758"/>
        <v>15.593465752701928</v>
      </c>
      <c r="K1656" s="1">
        <f t="shared" si="1758"/>
        <v>7.7722519713381493</v>
      </c>
      <c r="L1656" s="1">
        <f t="shared" ref="L1656" si="1759">L1655-L1657</f>
        <v>1.9504340871126824</v>
      </c>
      <c r="N1656" s="1"/>
    </row>
    <row r="1657" spans="2:14" x14ac:dyDescent="0.35">
      <c r="B1657" t="str">
        <f t="shared" si="1743"/>
        <v>SPS1</v>
      </c>
      <c r="C1657" t="str">
        <f t="shared" si="1744"/>
        <v>CH</v>
      </c>
      <c r="D1657" t="s">
        <v>1668</v>
      </c>
      <c r="E1657" t="str">
        <f t="shared" si="1753"/>
        <v>PJ/yr.</v>
      </c>
      <c r="F1657" s="1">
        <f>SUM(F1658:F1659)</f>
        <v>0.44472490515823271</v>
      </c>
      <c r="G1657" s="1">
        <f t="shared" ref="G1657:K1657" si="1760">SUM(G1658:G1659)</f>
        <v>0.46017216732288696</v>
      </c>
      <c r="H1657" s="1">
        <f t="shared" si="1760"/>
        <v>0.7690559766204963</v>
      </c>
      <c r="I1657" s="1">
        <f t="shared" si="1760"/>
        <v>0.72588732582741056</v>
      </c>
      <c r="J1657" s="1">
        <f t="shared" si="1760"/>
        <v>0.65401980800349702</v>
      </c>
      <c r="K1657" s="1">
        <f t="shared" si="1760"/>
        <v>0.32660386909629113</v>
      </c>
      <c r="L1657" s="1">
        <f t="shared" ref="L1657" si="1761">SUM(L1658:L1659)</f>
        <v>9.2473316300252753E-2</v>
      </c>
      <c r="N1657" s="1"/>
    </row>
    <row r="1658" spans="2:14" x14ac:dyDescent="0.35">
      <c r="B1658" t="str">
        <f t="shared" si="1743"/>
        <v>SPS1</v>
      </c>
      <c r="C1658" t="str">
        <f t="shared" si="1744"/>
        <v>CH</v>
      </c>
      <c r="D1658" t="s">
        <v>1669</v>
      </c>
      <c r="E1658" t="str">
        <f t="shared" si="1753"/>
        <v>PJ/yr.</v>
      </c>
      <c r="F1658" s="1">
        <f>[1]Transport!B$26/SUM([1]Transport!B$22,[1]Transport!B$26)*F1655*(F$34+F$582)/(F$34+F$582+F$38)</f>
        <v>0.44472490515823271</v>
      </c>
      <c r="G1658" s="1">
        <f>[1]Transport!C$26/SUM([1]Transport!C$22,[1]Transport!C$26)*G1655*(G$34+G$582)/(G$34+G$582+G$38)</f>
        <v>0.46017216732288696</v>
      </c>
      <c r="H1658" s="1">
        <f>[1]Transport!D$26/SUM([1]Transport!D$22,[1]Transport!D$26)*H1655*(H$34+H$582)/(H$34+H$582+H$38)</f>
        <v>0.7690559766204963</v>
      </c>
      <c r="I1658" s="1">
        <f>[1]Transport!E$26/SUM([1]Transport!E$22,[1]Transport!E$26)*I1655*(I$34+I$582)/(I$34+I$582+I$38)</f>
        <v>0.72588732582741056</v>
      </c>
      <c r="J1658" s="1">
        <f>[2]Transport!F$26/SUM([2]Transport!F$22,[2]Transport!F$26)*J1655*(J$34+J$582)/(J$34+J$582+J$38)</f>
        <v>0.65401980800349702</v>
      </c>
      <c r="K1658" s="1">
        <f>[2]Transport!G$26/SUM([2]Transport!G$22,[2]Transport!G$26)*K1655*(K$34+K$582)/(K$34+K$582+K$38)</f>
        <v>0.32660386909629113</v>
      </c>
      <c r="L1658" s="1">
        <f>[2]Transport!H$26/SUM([2]Transport!H$22,[2]Transport!H$26)*L1655*(L$34+L$582)/(L$34+L$582+L$38)</f>
        <v>9.2473316300252753E-2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3"/>
        <v>SPS1</v>
      </c>
      <c r="C1661" t="str">
        <f t="shared" si="1744"/>
        <v>CH</v>
      </c>
      <c r="D1661" t="s">
        <v>1672</v>
      </c>
      <c r="E1661" t="str">
        <f t="shared" si="1753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0.39609083130738326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0.27729257284026015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3"/>
        <v>SPS1</v>
      </c>
      <c r="C1662" t="str">
        <f t="shared" si="1744"/>
        <v>CH</v>
      </c>
      <c r="D1662" t="s">
        <v>1673</v>
      </c>
      <c r="E1662" t="str">
        <f t="shared" si="1753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17.380399662163832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17.136488259540648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16.252751142557276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16.247485560705424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8.0988558404344406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2.0429074034129351</v>
      </c>
      <c r="N1662" s="1"/>
    </row>
    <row r="1663" spans="2:14" x14ac:dyDescent="0.35">
      <c r="B1663" t="str">
        <f t="shared" ref="B1663:C1665" si="1762">B1657</f>
        <v>SPS1</v>
      </c>
      <c r="C1663" t="str">
        <f t="shared" si="1762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30.629609213461446</v>
      </c>
      <c r="G1663" s="1">
        <f>IF([1]Transport!C$23+[1]Transport_Aviation_Intl!C$11&lt;0,0,[1]Transport!C$23+[1]Transport_Aviation_Intl!C$11)</f>
        <v>59.879987839215204</v>
      </c>
      <c r="H1663" s="1">
        <f>IF([1]Transport!D$23+[1]Transport_Aviation_Intl!D$11&lt;0,0,[1]Transport!D$23+[1]Transport_Aviation_Intl!D$11)</f>
        <v>82.509215674652694</v>
      </c>
      <c r="I1663" s="1">
        <f>IF([1]Transport!E$23+[1]Transport_Aviation_Intl!E$11&lt;0,0,[1]Transport!E$23+[1]Transport_Aviation_Intl!E$11)</f>
        <v>81.796170380401847</v>
      </c>
      <c r="J1663" s="1">
        <f>IF([2]Transport!F$23+[2]Transport_Aviation_Intl!F$11&lt;0,0,[2]Transport!F$23+[2]Transport_Aviation_Intl!F$11)</f>
        <v>80.549168356273739</v>
      </c>
      <c r="K1663" s="1">
        <f>IF([2]Transport!G$23+[2]Transport_Aviation_Intl!G$11&lt;0,0,[2]Transport!G$23+[2]Transport_Aviation_Intl!G$11)</f>
        <v>78.780117875751216</v>
      </c>
      <c r="L1663" s="1">
        <f>IF([2]Transport!H$23+[2]Transport_Aviation_Intl!H$11&lt;0,0,[2]Transport!H$23+[2]Transport_Aviation_Intl!H$11)</f>
        <v>74.980037751203525</v>
      </c>
      <c r="N1663" s="1"/>
    </row>
    <row r="1664" spans="2:14" x14ac:dyDescent="0.35">
      <c r="B1664" t="str">
        <f t="shared" si="1762"/>
        <v>SPS1</v>
      </c>
      <c r="C1664" t="str">
        <f t="shared" si="1762"/>
        <v>CH</v>
      </c>
      <c r="D1664" t="s">
        <v>2480</v>
      </c>
      <c r="E1664" t="str">
        <f>E1658</f>
        <v>PJ/yr.</v>
      </c>
      <c r="F1664" s="1">
        <f t="shared" ref="F1664:K1664" si="1763">F36</f>
        <v>3.9081036054261899E-4</v>
      </c>
      <c r="G1664" s="1">
        <f t="shared" si="1763"/>
        <v>1.2177234380080199E-5</v>
      </c>
      <c r="H1664" s="1">
        <f t="shared" si="1763"/>
        <v>4.9472060891920101E-4</v>
      </c>
      <c r="I1664" s="1">
        <f t="shared" si="1763"/>
        <v>5.0757674168398523</v>
      </c>
      <c r="J1664" s="1">
        <f t="shared" si="1763"/>
        <v>5.0757674168398523</v>
      </c>
      <c r="K1664" s="1">
        <f t="shared" si="1763"/>
        <v>6.0072155231495561</v>
      </c>
      <c r="L1664" s="1">
        <f t="shared" ref="L1664" si="1764">L36</f>
        <v>6.474132777462243</v>
      </c>
      <c r="N1664" s="1"/>
    </row>
    <row r="1665" spans="2:14" x14ac:dyDescent="0.35">
      <c r="B1665" t="str">
        <f t="shared" si="1762"/>
        <v>SPS1</v>
      </c>
      <c r="C1665" t="str">
        <f t="shared" si="1762"/>
        <v>CH</v>
      </c>
      <c r="D1665" t="s">
        <v>2481</v>
      </c>
      <c r="E1665" t="str">
        <f>E1659</f>
        <v>PJ/yr.</v>
      </c>
      <c r="F1665" s="1">
        <f t="shared" ref="F1665:K1665" si="1765">F40</f>
        <v>0</v>
      </c>
      <c r="G1665" s="1">
        <f t="shared" si="1765"/>
        <v>0</v>
      </c>
      <c r="H1665" s="1">
        <f t="shared" si="1765"/>
        <v>0</v>
      </c>
      <c r="I1665" s="1">
        <f t="shared" si="1765"/>
        <v>0</v>
      </c>
      <c r="J1665" s="1">
        <f t="shared" si="1765"/>
        <v>0.93144810630970376</v>
      </c>
      <c r="K1665" s="1">
        <f t="shared" si="1765"/>
        <v>0.46691725431268694</v>
      </c>
      <c r="L1665" s="1">
        <f t="shared" ref="L1665" si="1766">L40</f>
        <v>0.2569928303378779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7">B1666</f>
        <v>SPS1</v>
      </c>
      <c r="C1667" t="str">
        <f t="shared" si="1744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0.24502520379948656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0.26340034724627875</v>
      </c>
      <c r="N1667" s="1"/>
    </row>
    <row r="1668" spans="2:14" x14ac:dyDescent="0.35">
      <c r="B1668" t="str">
        <f t="shared" si="1767"/>
        <v>SPS1</v>
      </c>
      <c r="C1668" t="str">
        <f t="shared" si="1744"/>
        <v>CH</v>
      </c>
      <c r="D1668" t="s">
        <v>1676</v>
      </c>
      <c r="E1668" t="str">
        <f t="shared" ref="E1668:E1671" si="1768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2.5094614594832879E-2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2.6565219225528479E-2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2.9171919239914641E-2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3.1644726245877636E-2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3.3098929077496252E-2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3.3880933670115479E-2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3.6423625635393128E-2</v>
      </c>
      <c r="N1668" s="1"/>
    </row>
    <row r="1669" spans="2:14" x14ac:dyDescent="0.35">
      <c r="B1669" t="str">
        <f t="shared" si="1767"/>
        <v>SPS1</v>
      </c>
      <c r="C1669" t="str">
        <f t="shared" si="1744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8.9491362900520094E-2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8.9492977064677806E-2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8.9503310796425206E-2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8.9498076880903402E-2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8.1458969301104904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14.1325325178481</v>
      </c>
      <c r="N1669" s="1"/>
    </row>
    <row r="1670" spans="2:14" x14ac:dyDescent="0.35">
      <c r="B1670" t="str">
        <f t="shared" si="1767"/>
        <v>SPS1</v>
      </c>
      <c r="C1670" t="str">
        <f t="shared" si="1744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2.3692240234702451E-7</v>
      </c>
      <c r="N1670" s="1"/>
    </row>
    <row r="1671" spans="2:14" x14ac:dyDescent="0.35">
      <c r="B1671" t="str">
        <f t="shared" si="1767"/>
        <v>SPS1</v>
      </c>
      <c r="C1671" t="str">
        <f t="shared" si="1744"/>
        <v>CH</v>
      </c>
      <c r="D1671" t="s">
        <v>1679</v>
      </c>
      <c r="E1671" t="str">
        <f t="shared" si="1768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7"/>
        <v>SPS1</v>
      </c>
      <c r="C1672" t="str">
        <f t="shared" si="1744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6.5961952898691098E-6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7.4786312808900299E-6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8.3641556506247302E-5</v>
      </c>
      <c r="N1672" s="1"/>
    </row>
    <row r="1673" spans="2:14" x14ac:dyDescent="0.35">
      <c r="B1673" t="str">
        <f t="shared" si="1767"/>
        <v>SPS1</v>
      </c>
      <c r="C1673" t="str">
        <f t="shared" si="1744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0.63228305194382195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2.1998995098707101E-5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2.09287075676519E-5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5.1865167667639904E-3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1.81841842740668E-3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7"/>
        <v>SPS1</v>
      </c>
      <c r="C1674" t="str">
        <f t="shared" si="1744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7"/>
        <v>SPS1</v>
      </c>
      <c r="C1675" t="str">
        <f t="shared" si="1744"/>
        <v>CH</v>
      </c>
      <c r="D1675" t="s">
        <v>1683</v>
      </c>
      <c r="E1675" t="str">
        <f t="shared" ref="E1675" si="1769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1.6053854051671186E-3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1.1238872859784281E-3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7"/>
        <v>SPS1</v>
      </c>
      <c r="C1676" t="str">
        <f t="shared" si="1744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17.1765237530674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16.935473484820601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16.062102798508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16.0568989830889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8.0038544809028007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2.0189436504402498</v>
      </c>
      <c r="N1676" s="1"/>
    </row>
    <row r="1677" spans="2:14" x14ac:dyDescent="0.35">
      <c r="B1677" s="2" t="str">
        <f t="shared" si="1767"/>
        <v>SPS1</v>
      </c>
      <c r="C1677" s="2" t="str">
        <f t="shared" si="1744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7"/>
        <v>SPS1</v>
      </c>
      <c r="C1678" t="str">
        <f t="shared" si="1744"/>
        <v>CH</v>
      </c>
      <c r="D1678" t="s">
        <v>1686</v>
      </c>
      <c r="E1678" t="s">
        <v>1229</v>
      </c>
      <c r="F1678" s="7">
        <f t="shared" ref="F1678:K1680" si="1770">IFERROR(F1667/F1642,"-")</f>
        <v>2.5309161094553195E-2</v>
      </c>
      <c r="G1678" s="7">
        <f t="shared" si="1770"/>
        <v>2.5301857215832019E-2</v>
      </c>
      <c r="H1678" s="7">
        <f t="shared" si="1770"/>
        <v>2.5290901397750198E-2</v>
      </c>
      <c r="I1678" s="7">
        <f t="shared" si="1770"/>
        <v>2.5272641700947188E-2</v>
      </c>
      <c r="J1678" s="7">
        <f t="shared" si="1770"/>
        <v>2.5254382004144305E-2</v>
      </c>
      <c r="K1678" s="7">
        <f t="shared" si="1770"/>
        <v>2.5236122307341256E-2</v>
      </c>
      <c r="L1678" s="7">
        <f t="shared" ref="L1678" si="1771">IFERROR(L1667/L1642,"-")</f>
        <v>2.519960291373527E-2</v>
      </c>
      <c r="N1678" s="1"/>
    </row>
    <row r="1679" spans="2:14" x14ac:dyDescent="0.35">
      <c r="B1679" t="str">
        <f t="shared" si="1767"/>
        <v>SPS1</v>
      </c>
      <c r="C1679" t="str">
        <f t="shared" si="1744"/>
        <v>CH</v>
      </c>
      <c r="D1679" t="s">
        <v>1687</v>
      </c>
      <c r="E1679" t="s">
        <v>1229</v>
      </c>
      <c r="F1679" s="7">
        <f t="shared" si="1770"/>
        <v>1.67040322194013E-2</v>
      </c>
      <c r="G1679" s="7">
        <f t="shared" si="1770"/>
        <v>1.6704032219401303E-2</v>
      </c>
      <c r="H1679" s="7">
        <f t="shared" si="1770"/>
        <v>1.6704032219401282E-2</v>
      </c>
      <c r="I1679" s="7">
        <f t="shared" si="1770"/>
        <v>1.670403221940131E-2</v>
      </c>
      <c r="J1679" s="7">
        <f t="shared" si="1770"/>
        <v>1.6704032219401269E-2</v>
      </c>
      <c r="K1679" s="7">
        <f t="shared" si="1770"/>
        <v>1.6704032219401289E-2</v>
      </c>
      <c r="L1679" s="7">
        <f t="shared" ref="L1679" si="1772">IFERROR(L1668/L1643,"-")</f>
        <v>1.6704032219401269E-2</v>
      </c>
      <c r="N1679" s="1"/>
    </row>
    <row r="1680" spans="2:14" x14ac:dyDescent="0.35">
      <c r="B1680" t="str">
        <f t="shared" si="1767"/>
        <v>SPS1</v>
      </c>
      <c r="C1680" t="str">
        <f t="shared" si="1744"/>
        <v>CH</v>
      </c>
      <c r="D1680" t="s">
        <v>1688</v>
      </c>
      <c r="E1680" t="s">
        <v>240</v>
      </c>
      <c r="F1680" t="str">
        <f t="shared" si="1770"/>
        <v>-</v>
      </c>
      <c r="G1680">
        <f t="shared" si="1770"/>
        <v>2.4673913043478364</v>
      </c>
      <c r="H1680">
        <f t="shared" si="1770"/>
        <v>2.4673913043478324</v>
      </c>
      <c r="I1680">
        <f t="shared" si="1770"/>
        <v>2.4673913043478337</v>
      </c>
      <c r="J1680">
        <f t="shared" si="1770"/>
        <v>2.4657142298947425</v>
      </c>
      <c r="K1680">
        <f t="shared" si="1770"/>
        <v>2.4673700992604952</v>
      </c>
      <c r="L1680">
        <f t="shared" ref="L1680" si="1773">IFERROR(L1669/L1644,"-")</f>
        <v>2.3591698170498216</v>
      </c>
      <c r="N1680" s="1"/>
    </row>
    <row r="1681" spans="2:14" x14ac:dyDescent="0.35">
      <c r="B1681" t="str">
        <f t="shared" si="1767"/>
        <v>SPS1</v>
      </c>
      <c r="C1681" t="str">
        <f t="shared" si="1744"/>
        <v>CH</v>
      </c>
      <c r="D1681" t="s">
        <v>1689</v>
      </c>
      <c r="E1681" t="s">
        <v>1229</v>
      </c>
      <c r="F1681" t="str">
        <f t="shared" ref="F1681:K1683" si="1774">IFERROR(F1670/F1646,"-")</f>
        <v>-</v>
      </c>
      <c r="G1681" t="str">
        <f t="shared" si="1774"/>
        <v>-</v>
      </c>
      <c r="H1681" t="str">
        <f t="shared" si="1774"/>
        <v>-</v>
      </c>
      <c r="I1681" t="str">
        <f t="shared" si="1774"/>
        <v>-</v>
      </c>
      <c r="J1681" t="str">
        <f t="shared" si="1774"/>
        <v>-</v>
      </c>
      <c r="K1681" t="str">
        <f t="shared" si="1774"/>
        <v>-</v>
      </c>
      <c r="L1681">
        <f t="shared" ref="L1681" si="1775">IFERROR(L1670/L1646,"-")</f>
        <v>1.9320077379362421E-2</v>
      </c>
      <c r="N1681" s="1"/>
    </row>
    <row r="1682" spans="2:14" x14ac:dyDescent="0.35">
      <c r="B1682" t="str">
        <f t="shared" si="1767"/>
        <v>SPS1</v>
      </c>
      <c r="C1682" t="str">
        <f t="shared" si="1744"/>
        <v>CH</v>
      </c>
      <c r="D1682" t="s">
        <v>1690</v>
      </c>
      <c r="E1682" t="s">
        <v>1229</v>
      </c>
      <c r="F1682" t="str">
        <f t="shared" si="1774"/>
        <v>-</v>
      </c>
      <c r="G1682" t="str">
        <f t="shared" si="1774"/>
        <v>-</v>
      </c>
      <c r="H1682" t="str">
        <f t="shared" si="1774"/>
        <v>-</v>
      </c>
      <c r="I1682" t="str">
        <f t="shared" si="1774"/>
        <v>-</v>
      </c>
      <c r="J1682" t="str">
        <f t="shared" si="1774"/>
        <v>-</v>
      </c>
      <c r="K1682" t="str">
        <f t="shared" si="1774"/>
        <v>-</v>
      </c>
      <c r="L1682" t="str">
        <f t="shared" ref="L1682" si="1776">IFERROR(L1671/L1647,"-")</f>
        <v>-</v>
      </c>
      <c r="N1682" s="1"/>
    </row>
    <row r="1683" spans="2:14" x14ac:dyDescent="0.35">
      <c r="B1683" t="str">
        <f t="shared" si="1767"/>
        <v>SPS1</v>
      </c>
      <c r="C1683" t="str">
        <f t="shared" si="1744"/>
        <v>CH</v>
      </c>
      <c r="D1683" t="s">
        <v>1691</v>
      </c>
      <c r="E1683" t="s">
        <v>240</v>
      </c>
      <c r="F1683" t="str">
        <f t="shared" si="1774"/>
        <v>-</v>
      </c>
      <c r="G1683" t="str">
        <f t="shared" si="1774"/>
        <v>-</v>
      </c>
      <c r="H1683" t="str">
        <f t="shared" si="1774"/>
        <v>-</v>
      </c>
      <c r="I1683" t="str">
        <f t="shared" si="1774"/>
        <v>-</v>
      </c>
      <c r="J1683">
        <f t="shared" si="1774"/>
        <v>1.7934782608695672</v>
      </c>
      <c r="K1683">
        <f t="shared" si="1774"/>
        <v>1.7934782608695707</v>
      </c>
      <c r="L1683">
        <f t="shared" ref="L1683" si="1777">IFERROR(L1672/L1648,"-")</f>
        <v>1.7934782608695621</v>
      </c>
      <c r="N1683" s="1"/>
    </row>
    <row r="1684" spans="2:14" x14ac:dyDescent="0.35">
      <c r="B1684" t="str">
        <f t="shared" si="1767"/>
        <v>SPS1</v>
      </c>
      <c r="C1684" t="str">
        <f t="shared" si="1744"/>
        <v>CH</v>
      </c>
      <c r="D1684" t="s">
        <v>1692</v>
      </c>
      <c r="E1684" t="s">
        <v>240</v>
      </c>
      <c r="F1684" s="4">
        <f t="shared" ref="F1684:K1684" si="1778">IFERROR(F1673/F1654,"-")</f>
        <v>0.90641226905247907</v>
      </c>
      <c r="G1684" s="4">
        <f t="shared" si="1778"/>
        <v>0.90641226905247829</v>
      </c>
      <c r="H1684" s="4">
        <f t="shared" si="1778"/>
        <v>0.90641226905247674</v>
      </c>
      <c r="I1684" s="4">
        <f t="shared" si="1778"/>
        <v>0.90641226905247474</v>
      </c>
      <c r="J1684" s="4">
        <f t="shared" si="1778"/>
        <v>0.90641226905247585</v>
      </c>
      <c r="K1684" s="4">
        <f t="shared" si="1778"/>
        <v>0.90641226905247962</v>
      </c>
      <c r="L1684" s="4" t="str">
        <f t="shared" ref="L1684" si="1779">IFERROR(L1673/L1654,"-")</f>
        <v>-</v>
      </c>
      <c r="N1684" s="1"/>
    </row>
    <row r="1685" spans="2:14" x14ac:dyDescent="0.35">
      <c r="B1685" t="str">
        <f t="shared" si="1767"/>
        <v>SPS1</v>
      </c>
      <c r="C1685" t="str">
        <f t="shared" si="1744"/>
        <v>CH</v>
      </c>
      <c r="D1685" t="s">
        <v>1693</v>
      </c>
      <c r="E1685" t="s">
        <v>1229</v>
      </c>
      <c r="F1685" t="str">
        <f t="shared" ref="F1685:K1687" si="1780">IFERROR(F1674/F1660,"-")</f>
        <v>-</v>
      </c>
      <c r="G1685" t="str">
        <f t="shared" si="1780"/>
        <v>-</v>
      </c>
      <c r="H1685" t="str">
        <f t="shared" si="1780"/>
        <v>-</v>
      </c>
      <c r="I1685" t="str">
        <f t="shared" si="1780"/>
        <v>-</v>
      </c>
      <c r="J1685" t="str">
        <f t="shared" si="1780"/>
        <v>-</v>
      </c>
      <c r="K1685" t="str">
        <f t="shared" si="1780"/>
        <v>-</v>
      </c>
      <c r="L1685" t="str">
        <f t="shared" ref="L1685" si="1781">IFERROR(L1674/L1660,"-")</f>
        <v>-</v>
      </c>
      <c r="N1685" s="1"/>
    </row>
    <row r="1686" spans="2:14" x14ac:dyDescent="0.35">
      <c r="B1686" t="str">
        <f t="shared" si="1767"/>
        <v>SPS1</v>
      </c>
      <c r="C1686" t="str">
        <f t="shared" si="1744"/>
        <v>CH</v>
      </c>
      <c r="D1686" t="s">
        <v>1694</v>
      </c>
      <c r="E1686" t="s">
        <v>1229</v>
      </c>
      <c r="F1686" s="1">
        <f t="shared" si="1780"/>
        <v>4.0530738867855069E-3</v>
      </c>
      <c r="G1686" s="1">
        <f t="shared" si="1780"/>
        <v>4.0530738867855121E-3</v>
      </c>
      <c r="H1686" t="str">
        <f t="shared" si="1780"/>
        <v>-</v>
      </c>
      <c r="I1686" t="str">
        <f t="shared" si="1780"/>
        <v>-</v>
      </c>
      <c r="J1686" t="str">
        <f t="shared" si="1780"/>
        <v>-</v>
      </c>
      <c r="K1686" t="str">
        <f t="shared" si="1780"/>
        <v>-</v>
      </c>
      <c r="L1686" t="str">
        <f t="shared" ref="L1686" si="1782">IFERROR(L1675/L1661,"-")</f>
        <v>-</v>
      </c>
      <c r="N1686" s="1"/>
    </row>
    <row r="1687" spans="2:14" x14ac:dyDescent="0.35">
      <c r="B1687" t="str">
        <f t="shared" si="1767"/>
        <v>SPS1</v>
      </c>
      <c r="C1687" t="str">
        <f t="shared" si="1744"/>
        <v>CH</v>
      </c>
      <c r="D1687" t="s">
        <v>1695</v>
      </c>
      <c r="E1687" t="s">
        <v>240</v>
      </c>
      <c r="F1687" s="4">
        <f t="shared" si="1780"/>
        <v>0.98826978015125178</v>
      </c>
      <c r="G1687" s="4">
        <f t="shared" si="1780"/>
        <v>0.98826978015124367</v>
      </c>
      <c r="H1687" s="4">
        <f t="shared" si="1780"/>
        <v>0.98826978015124345</v>
      </c>
      <c r="I1687" s="4">
        <f t="shared" si="1780"/>
        <v>0.98826978015124656</v>
      </c>
      <c r="J1687" s="4">
        <f t="shared" si="1780"/>
        <v>0.98826978015124634</v>
      </c>
      <c r="K1687" s="4">
        <f t="shared" si="1780"/>
        <v>0.98826978015124867</v>
      </c>
      <c r="L1687" s="4">
        <f t="shared" ref="L1687" si="1783">IFERROR(L1676/L1662,"-")</f>
        <v>0.98826978015124389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34.596313172436687</v>
      </c>
      <c r="G1688" s="3">
        <f t="shared" ref="G1688:K1688" si="1784">SUM(G1689:G1691,G1694:G1696,-G1701)</f>
        <v>32.332973192367419</v>
      </c>
      <c r="H1688" s="3">
        <f t="shared" si="1784"/>
        <v>30.621673200125194</v>
      </c>
      <c r="I1688" s="3">
        <f t="shared" si="1784"/>
        <v>23.908513964394544</v>
      </c>
      <c r="J1688" s="3">
        <f t="shared" si="1784"/>
        <v>20.099572225575606</v>
      </c>
      <c r="K1688" s="3">
        <f t="shared" si="1784"/>
        <v>17.949894770683372</v>
      </c>
      <c r="L1688" s="3">
        <f t="shared" ref="L1688" si="1785">SUM(L1689:L1691,L1694:L1696,-L1701)</f>
        <v>13.978278244147866</v>
      </c>
      <c r="N1688" s="1"/>
    </row>
    <row r="1689" spans="2:14" x14ac:dyDescent="0.35">
      <c r="B1689" t="str">
        <f>B1688</f>
        <v>SPS1</v>
      </c>
      <c r="C1689" t="str">
        <f t="shared" ref="C1689" si="1786">C1688</f>
        <v>CH</v>
      </c>
      <c r="D1689" t="s">
        <v>1702</v>
      </c>
      <c r="E1689" t="str">
        <f>E1688</f>
        <v>Mt/yr.</v>
      </c>
      <c r="F1689" s="1">
        <f>[1]Summary!B53+[1]Summary!B59</f>
        <v>2.6032787722438342</v>
      </c>
      <c r="G1689" s="1">
        <f>[1]Summary!C53+[1]Summary!C59</f>
        <v>2.3489418869843472</v>
      </c>
      <c r="H1689" s="1">
        <f>[1]Summary!D53+[1]Summary!D59</f>
        <v>2.3343115197309583</v>
      </c>
      <c r="I1689" s="1">
        <f>[1]Summary!E53+[1]Summary!E59</f>
        <v>2.4066962427459213</v>
      </c>
      <c r="J1689" s="1">
        <f>[2]Summary!F53+[2]Summary!F59</f>
        <v>2.3962116869869354</v>
      </c>
      <c r="K1689" s="1">
        <f>[2]Summary!G53+[2]Summary!G59</f>
        <v>2.4467556849057588</v>
      </c>
      <c r="L1689" s="1">
        <f>[2]Summary!H53+[2]Summary!H59</f>
        <v>3.0282472029028566</v>
      </c>
      <c r="N1689" s="1"/>
    </row>
    <row r="1690" spans="2:14" x14ac:dyDescent="0.35">
      <c r="B1690" t="str">
        <f t="shared" ref="B1690:B1701" si="1787">B1689</f>
        <v>SPS1</v>
      </c>
      <c r="C1690" t="str">
        <f t="shared" ref="C1690:C1701" si="1788">C1689</f>
        <v>CH</v>
      </c>
      <c r="D1690" t="s">
        <v>1703</v>
      </c>
      <c r="E1690" t="str">
        <f t="shared" ref="E1690:E1701" si="1789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7"/>
        <v>SPS1</v>
      </c>
      <c r="C1691" t="str">
        <f t="shared" si="1788"/>
        <v>CH</v>
      </c>
      <c r="D1691" t="s">
        <v>1704</v>
      </c>
      <c r="E1691" t="str">
        <f t="shared" si="1789"/>
        <v>Mt/yr.</v>
      </c>
      <c r="F1691" s="1">
        <f>[1]Summary!B55+[1]Summary!B60</f>
        <v>6.4916335366911131</v>
      </c>
      <c r="G1691" s="1">
        <f>[1]Summary!C55+[1]Summary!C60</f>
        <v>6.2473838442459515</v>
      </c>
      <c r="H1691" s="1">
        <f>[1]Summary!D55+[1]Summary!D60</f>
        <v>5.9456565169538731</v>
      </c>
      <c r="I1691" s="1">
        <f>[1]Summary!E55+[1]Summary!E60</f>
        <v>5.3716687749723881</v>
      </c>
      <c r="J1691" s="1">
        <f>[2]Summary!F55+[2]Summary!F60</f>
        <v>5.0068015918224233</v>
      </c>
      <c r="K1691" s="1">
        <f>[2]Summary!G55+[2]Summary!G60</f>
        <v>4.8344223689171235</v>
      </c>
      <c r="L1691" s="1">
        <f>[2]Summary!H55+[2]Summary!H60</f>
        <v>4.4427550650452101</v>
      </c>
      <c r="N1691" s="1"/>
    </row>
    <row r="1692" spans="2:14" x14ac:dyDescent="0.35">
      <c r="B1692" t="str">
        <f t="shared" si="1787"/>
        <v>SPS1</v>
      </c>
      <c r="C1692" t="str">
        <f t="shared" si="1788"/>
        <v>CH</v>
      </c>
      <c r="D1692" t="s">
        <v>1714</v>
      </c>
      <c r="E1692" t="str">
        <f t="shared" si="1789"/>
        <v>Mt/yr.</v>
      </c>
      <c r="F1692" s="1">
        <f>F1691-F1693</f>
        <v>4.4022867362064737</v>
      </c>
      <c r="G1692" s="1">
        <f t="shared" ref="G1692:K1692" si="1790">G1691-G1693</f>
        <v>4.1363706743718716</v>
      </c>
      <c r="H1692" s="1">
        <f t="shared" si="1790"/>
        <v>3.8433870458926132</v>
      </c>
      <c r="I1692" s="1">
        <f t="shared" si="1790"/>
        <v>3.2780117125597483</v>
      </c>
      <c r="J1692" s="1">
        <f t="shared" si="1790"/>
        <v>2.9212666370529434</v>
      </c>
      <c r="K1692" s="1">
        <f t="shared" si="1790"/>
        <v>2.7570095217908133</v>
      </c>
      <c r="L1692" s="1">
        <f t="shared" ref="L1692" si="1791">L1691-L1693</f>
        <v>2.3790065087902201</v>
      </c>
      <c r="N1692" s="1"/>
    </row>
    <row r="1693" spans="2:14" x14ac:dyDescent="0.35">
      <c r="B1693" t="str">
        <f t="shared" si="1787"/>
        <v>SPS1</v>
      </c>
      <c r="C1693" t="str">
        <f t="shared" si="1788"/>
        <v>CH</v>
      </c>
      <c r="D1693" t="s">
        <v>1713</v>
      </c>
      <c r="E1693" t="str">
        <f t="shared" si="1789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2.0855349547694799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2.0774128471263102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2.06374855625499</v>
      </c>
      <c r="N1693" s="1"/>
    </row>
    <row r="1694" spans="2:14" x14ac:dyDescent="0.35">
      <c r="B1694" t="str">
        <f t="shared" si="1787"/>
        <v>SPS1</v>
      </c>
      <c r="C1694" t="str">
        <f t="shared" si="1788"/>
        <v>CH</v>
      </c>
      <c r="D1694" t="s">
        <v>1705</v>
      </c>
      <c r="E1694" t="str">
        <f t="shared" si="1789"/>
        <v>Mt/yr.</v>
      </c>
      <c r="F1694" s="1">
        <f>[1]Summary!B56</f>
        <v>3.7896191883983401</v>
      </c>
      <c r="G1694" s="1">
        <f>[1]Summary!C56</f>
        <v>3.4838527740473801</v>
      </c>
      <c r="H1694" s="1">
        <f>[1]Summary!D56</f>
        <v>3.4139556459734002</v>
      </c>
      <c r="I1694" s="1">
        <f>[1]Summary!E56</f>
        <v>2.7492464452779699</v>
      </c>
      <c r="J1694" s="1">
        <f>[2]Summary!F56</f>
        <v>2.9428275598539297</v>
      </c>
      <c r="K1694" s="1">
        <f>[2]Summary!G56</f>
        <v>2.5153882385705852</v>
      </c>
      <c r="L1694" s="1">
        <f>[2]Summary!H56</f>
        <v>1.0894765686497541</v>
      </c>
      <c r="N1694" s="1"/>
    </row>
    <row r="1695" spans="2:14" x14ac:dyDescent="0.35">
      <c r="B1695" t="str">
        <f t="shared" si="1787"/>
        <v>SPS1</v>
      </c>
      <c r="C1695" t="str">
        <f t="shared" si="1788"/>
        <v>CH</v>
      </c>
      <c r="D1695" t="s">
        <v>1706</v>
      </c>
      <c r="E1695" t="str">
        <f t="shared" si="1789"/>
        <v>Mt/yr.</v>
      </c>
      <c r="F1695" s="1">
        <f>[1]Summary!B57</f>
        <v>7.1742764520305569</v>
      </c>
      <c r="G1695" s="1">
        <f>[1]Summary!C57</f>
        <v>6.4163909367503074</v>
      </c>
      <c r="H1695" s="1">
        <f>[1]Summary!D57</f>
        <v>6.5193057300018653</v>
      </c>
      <c r="I1695" s="1">
        <f>[1]Summary!E57</f>
        <v>4.9637638921579113</v>
      </c>
      <c r="J1695" s="1">
        <f>[2]Summary!F57</f>
        <v>4.1597758034435213</v>
      </c>
      <c r="K1695" s="1">
        <f>[2]Summary!G57</f>
        <v>3.5133354970586801</v>
      </c>
      <c r="L1695" s="1">
        <f>[2]Summary!H57</f>
        <v>1.966167314209696</v>
      </c>
      <c r="N1695" s="1"/>
    </row>
    <row r="1696" spans="2:14" x14ac:dyDescent="0.35">
      <c r="B1696" t="str">
        <f t="shared" si="1787"/>
        <v>SPS1</v>
      </c>
      <c r="C1696" t="str">
        <f t="shared" si="1788"/>
        <v>CH</v>
      </c>
      <c r="D1696" t="s">
        <v>1707</v>
      </c>
      <c r="E1696" t="str">
        <f t="shared" si="1789"/>
        <v>Mt/yr.</v>
      </c>
      <c r="F1696" s="1">
        <f>[1]Summary!B58</f>
        <v>14.53750522307284</v>
      </c>
      <c r="G1696" s="1">
        <f>[1]Summary!C58</f>
        <v>13.836403750339436</v>
      </c>
      <c r="H1696" s="1">
        <f>[1]Summary!D58</f>
        <v>12.408443787465096</v>
      </c>
      <c r="I1696" s="1">
        <f>[1]Summary!E58</f>
        <v>8.417138609240352</v>
      </c>
      <c r="J1696" s="1">
        <f>[2]Summary!F58</f>
        <v>5.593955583468798</v>
      </c>
      <c r="K1696" s="1">
        <f>[2]Summary!G58</f>
        <v>4.6399929812312219</v>
      </c>
      <c r="L1696" s="1">
        <f>[2]Summary!H58</f>
        <v>3.4516320933403497</v>
      </c>
      <c r="N1696" s="1"/>
    </row>
    <row r="1697" spans="2:14" x14ac:dyDescent="0.35">
      <c r="B1697" t="str">
        <f t="shared" si="1787"/>
        <v>SPS1</v>
      </c>
      <c r="C1697" t="str">
        <f t="shared" si="1788"/>
        <v>CH</v>
      </c>
      <c r="D1697" t="s">
        <v>1708</v>
      </c>
      <c r="E1697" t="str">
        <f t="shared" si="1789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0</v>
      </c>
      <c r="N1697" s="1"/>
    </row>
    <row r="1698" spans="2:14" x14ac:dyDescent="0.35">
      <c r="B1698" t="str">
        <f t="shared" si="1787"/>
        <v>SPS1</v>
      </c>
      <c r="C1698" t="str">
        <f t="shared" si="1788"/>
        <v>CH</v>
      </c>
      <c r="D1698" t="s">
        <v>1709</v>
      </c>
      <c r="E1698" t="str">
        <f t="shared" si="1789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0</v>
      </c>
      <c r="N1698" s="1"/>
    </row>
    <row r="1699" spans="2:14" x14ac:dyDescent="0.35">
      <c r="B1699" t="str">
        <f t="shared" si="1787"/>
        <v>SPS1</v>
      </c>
      <c r="C1699" t="str">
        <f t="shared" si="1788"/>
        <v>CH</v>
      </c>
      <c r="D1699" t="s">
        <v>1710</v>
      </c>
      <c r="E1699" t="str">
        <f t="shared" si="1789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7"/>
        <v>SPS1</v>
      </c>
      <c r="C1700" t="str">
        <f t="shared" si="1788"/>
        <v>CH</v>
      </c>
      <c r="D1700" t="s">
        <v>1711</v>
      </c>
      <c r="E1700" t="str">
        <f t="shared" si="1789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7"/>
        <v>SPS1</v>
      </c>
      <c r="C1701" t="str">
        <f t="shared" si="1788"/>
        <v>CH</v>
      </c>
      <c r="D1701" t="s">
        <v>1712</v>
      </c>
      <c r="E1701" t="str">
        <f t="shared" si="1789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0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92">SUM(G1703:G1705)</f>
        <v>0</v>
      </c>
      <c r="H1702" s="3">
        <f t="shared" si="1792"/>
        <v>0</v>
      </c>
      <c r="I1702" s="3">
        <f t="shared" si="1792"/>
        <v>0</v>
      </c>
      <c r="J1702" s="3">
        <f t="shared" si="1792"/>
        <v>0</v>
      </c>
      <c r="K1702" s="3">
        <f t="shared" si="1792"/>
        <v>0</v>
      </c>
      <c r="L1702" s="3">
        <f t="shared" ref="L1702" si="1793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4">B1703</f>
        <v>SPS1</v>
      </c>
      <c r="C1704" t="str">
        <f t="shared" ref="C1704:C1705" si="1795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4"/>
        <v>SPS1</v>
      </c>
      <c r="C1705" t="str">
        <f t="shared" si="1795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6">B1705</f>
        <v>SPS1</v>
      </c>
      <c r="C1706" s="2" t="str">
        <f t="shared" si="1796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6"/>
        <v>SPS1</v>
      </c>
      <c r="C1707" t="str">
        <f t="shared" si="1796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7">SUM(G1708:G1709)</f>
        <v>0</v>
      </c>
      <c r="H1707" s="1">
        <f t="shared" si="1797"/>
        <v>0</v>
      </c>
      <c r="I1707" s="1">
        <f t="shared" si="1797"/>
        <v>0</v>
      </c>
      <c r="J1707" s="1">
        <f t="shared" si="1797"/>
        <v>0</v>
      </c>
      <c r="K1707" s="1">
        <f t="shared" si="1797"/>
        <v>0</v>
      </c>
      <c r="L1707" s="1">
        <f t="shared" ref="L1707" si="1798">SUM(L1708:L1709)</f>
        <v>0</v>
      </c>
      <c r="N1707" s="1"/>
    </row>
    <row r="1708" spans="2:14" x14ac:dyDescent="0.35">
      <c r="B1708" t="str">
        <f t="shared" si="1796"/>
        <v>SPS1</v>
      </c>
      <c r="C1708" t="str">
        <f t="shared" si="1796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0</v>
      </c>
      <c r="N1708" s="1"/>
    </row>
    <row r="1709" spans="2:14" x14ac:dyDescent="0.35">
      <c r="B1709" t="str">
        <f t="shared" si="1796"/>
        <v>SPS1</v>
      </c>
      <c r="C1709" t="str">
        <f t="shared" si="1796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0</v>
      </c>
      <c r="N1709" s="1"/>
    </row>
    <row r="1710" spans="2:14" x14ac:dyDescent="0.35">
      <c r="B1710" t="str">
        <f t="shared" si="1796"/>
        <v>SPS1</v>
      </c>
      <c r="C1710" t="str">
        <f t="shared" si="1796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9">G1701</f>
        <v>0</v>
      </c>
      <c r="H1710" s="1">
        <f t="shared" si="1799"/>
        <v>0</v>
      </c>
      <c r="I1710" s="1">
        <f t="shared" si="1799"/>
        <v>0</v>
      </c>
      <c r="J1710" s="1">
        <f t="shared" si="1799"/>
        <v>0</v>
      </c>
      <c r="K1710" s="1">
        <f t="shared" si="1799"/>
        <v>0</v>
      </c>
      <c r="L1710" s="1">
        <f t="shared" ref="L1710" si="1800">L1701</f>
        <v>0</v>
      </c>
      <c r="N1710" s="1"/>
    </row>
    <row r="1711" spans="2:14" x14ac:dyDescent="0.35">
      <c r="B1711" s="2" t="str">
        <f t="shared" si="1796"/>
        <v>SPS1</v>
      </c>
      <c r="C1711" s="2" t="str">
        <f t="shared" si="1796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962.3127223137601</v>
      </c>
      <c r="G1711" s="3">
        <f t="shared" ref="G1711:K1711" si="1801">SUM(G1712:G1713,G1730,G1739:G1740,G1741,G1742,G1747,G1750,,G1755:G1758,G1751)</f>
        <v>960.67929099383468</v>
      </c>
      <c r="H1711" s="3">
        <f t="shared" si="1801"/>
        <v>913.0708182576318</v>
      </c>
      <c r="I1711" s="3">
        <f t="shared" si="1801"/>
        <v>864.17176047983014</v>
      </c>
      <c r="J1711" s="3">
        <f t="shared" si="1801"/>
        <v>818.61097345404289</v>
      </c>
      <c r="K1711" s="3">
        <f t="shared" si="1801"/>
        <v>804.48141842081463</v>
      </c>
      <c r="L1711" s="3">
        <f t="shared" ref="L1711" si="1802">SUM(L1712:L1713,L1730,L1739:L1740,L1741,L1742,L1747,L1750,,L1755:L1758,L1751)</f>
        <v>825.42851266062269</v>
      </c>
      <c r="N1711" s="1"/>
    </row>
    <row r="1712" spans="2:14" x14ac:dyDescent="0.35">
      <c r="B1712" t="str">
        <f>B1711</f>
        <v>SPS1</v>
      </c>
      <c r="C1712" t="str">
        <f t="shared" ref="C1712" si="1803">C1711</f>
        <v>CH</v>
      </c>
      <c r="D1712" t="s">
        <v>1738</v>
      </c>
      <c r="E1712" t="str">
        <f>E1711</f>
        <v>PJ/yr.</v>
      </c>
      <c r="F1712" s="1">
        <f t="shared" ref="F1712:K1722" si="1804">F21</f>
        <v>3.6600053352139246</v>
      </c>
      <c r="G1712" s="1">
        <f t="shared" si="1804"/>
        <v>3.5647180569304484</v>
      </c>
      <c r="H1712" s="1">
        <f t="shared" si="1804"/>
        <v>3.3672800381153882</v>
      </c>
      <c r="I1712" s="1">
        <f t="shared" si="1804"/>
        <v>6.2984430927136275E-3</v>
      </c>
      <c r="J1712" s="1">
        <f t="shared" si="1804"/>
        <v>4.1100097937092492E-4</v>
      </c>
      <c r="K1712" s="1">
        <f t="shared" si="1804"/>
        <v>7.596573910203059E-5</v>
      </c>
      <c r="L1712" s="1">
        <f t="shared" ref="L1712" si="1805">L21</f>
        <v>2.8280544849642935E-4</v>
      </c>
      <c r="N1712" s="1"/>
    </row>
    <row r="1713" spans="2:14" x14ac:dyDescent="0.35">
      <c r="B1713" t="str">
        <f t="shared" ref="B1713:B1765" si="1806">B1712</f>
        <v>SPS1</v>
      </c>
      <c r="C1713" t="str">
        <f t="shared" ref="C1713:C1765" si="1807">C1712</f>
        <v>CH</v>
      </c>
      <c r="D1713" t="s">
        <v>1739</v>
      </c>
      <c r="E1713" t="str">
        <f t="shared" ref="E1713:E1741" si="1808">E1712</f>
        <v>PJ/yr.</v>
      </c>
      <c r="F1713" s="1">
        <f t="shared" si="1804"/>
        <v>310.48071753532099</v>
      </c>
      <c r="G1713" s="1">
        <f t="shared" si="1804"/>
        <v>286.47395305645483</v>
      </c>
      <c r="H1713" s="1">
        <f t="shared" si="1804"/>
        <v>263.66721080045807</v>
      </c>
      <c r="I1713" s="1">
        <f t="shared" si="1804"/>
        <v>186.63073000034581</v>
      </c>
      <c r="J1713" s="1">
        <f t="shared" si="1804"/>
        <v>131.20339712370799</v>
      </c>
      <c r="K1713" s="1">
        <f t="shared" si="1804"/>
        <v>106.70770131956303</v>
      </c>
      <c r="L1713" s="1">
        <f t="shared" ref="L1713" si="1809">L22</f>
        <v>66.401371203564096</v>
      </c>
      <c r="N1713" s="1"/>
    </row>
    <row r="1714" spans="2:14" x14ac:dyDescent="0.35">
      <c r="B1714" t="str">
        <f t="shared" si="1806"/>
        <v>SPS1</v>
      </c>
      <c r="C1714" t="str">
        <f t="shared" si="1807"/>
        <v>CH</v>
      </c>
      <c r="D1714" t="s">
        <v>1740</v>
      </c>
      <c r="E1714" t="str">
        <f t="shared" si="1808"/>
        <v>PJ/yr.</v>
      </c>
      <c r="F1714" s="1">
        <f t="shared" si="1804"/>
        <v>303.67559664876916</v>
      </c>
      <c r="G1714" s="1">
        <f t="shared" si="1804"/>
        <v>279.76995589187948</v>
      </c>
      <c r="H1714" s="1">
        <f t="shared" si="1804"/>
        <v>256.4863474859086</v>
      </c>
      <c r="I1714" s="1">
        <f t="shared" si="1804"/>
        <v>174.92568279325724</v>
      </c>
      <c r="J1714" s="1">
        <f t="shared" si="1804"/>
        <v>121.57482853625677</v>
      </c>
      <c r="K1714" s="1">
        <f t="shared" si="1804"/>
        <v>97.186183240388871</v>
      </c>
      <c r="L1714" s="1">
        <f t="shared" ref="L1714" si="1810">L23</f>
        <v>58.62045324597841</v>
      </c>
      <c r="N1714" s="1"/>
    </row>
    <row r="1715" spans="2:14" x14ac:dyDescent="0.35">
      <c r="B1715" t="str">
        <f t="shared" si="1806"/>
        <v>SPS1</v>
      </c>
      <c r="C1715" t="str">
        <f t="shared" si="1807"/>
        <v>CH</v>
      </c>
      <c r="D1715" t="s">
        <v>1741</v>
      </c>
      <c r="E1715" t="str">
        <f t="shared" si="1808"/>
        <v>PJ/yr.</v>
      </c>
      <c r="F1715" s="1">
        <f t="shared" si="1804"/>
        <v>101.72708482972673</v>
      </c>
      <c r="G1715" s="1">
        <f t="shared" si="1804"/>
        <v>88.213218937770236</v>
      </c>
      <c r="H1715" s="1">
        <f t="shared" si="1804"/>
        <v>87.829415595172208</v>
      </c>
      <c r="I1715" s="1">
        <f t="shared" si="1804"/>
        <v>60.373687305546881</v>
      </c>
      <c r="J1715" s="1">
        <f t="shared" si="1804"/>
        <v>45.426260300751686</v>
      </c>
      <c r="K1715" s="1">
        <f t="shared" si="1804"/>
        <v>34.053433165786565</v>
      </c>
      <c r="L1715" s="1">
        <f t="shared" ref="L1715" si="1811">L24</f>
        <v>11.665400259633792</v>
      </c>
      <c r="N1715" s="1"/>
    </row>
    <row r="1716" spans="2:14" x14ac:dyDescent="0.35">
      <c r="B1716" t="str">
        <f t="shared" si="1806"/>
        <v>SPS1</v>
      </c>
      <c r="C1716" t="str">
        <f t="shared" si="1807"/>
        <v>CH</v>
      </c>
      <c r="D1716" t="s">
        <v>1742</v>
      </c>
      <c r="E1716" t="str">
        <f t="shared" si="1808"/>
        <v>PJ/yr.</v>
      </c>
      <c r="F1716" s="1">
        <f t="shared" si="1804"/>
        <v>2.7763729691048495</v>
      </c>
      <c r="G1716" s="1">
        <f t="shared" si="1804"/>
        <v>2.7644096080017775</v>
      </c>
      <c r="H1716" s="1">
        <f t="shared" si="1804"/>
        <v>1.1874232333030327E-3</v>
      </c>
      <c r="I1716" s="1">
        <f t="shared" si="1804"/>
        <v>2.1723863373345604E-4</v>
      </c>
      <c r="J1716" s="1">
        <f t="shared" si="1804"/>
        <v>1.9514684178969011E-4</v>
      </c>
      <c r="K1716" s="1">
        <f t="shared" si="1804"/>
        <v>9.2012590721277923E-5</v>
      </c>
      <c r="L1716" s="1">
        <f t="shared" ref="L1716" si="1812">L25</f>
        <v>0</v>
      </c>
      <c r="N1716" s="1"/>
    </row>
    <row r="1717" spans="2:14" x14ac:dyDescent="0.35">
      <c r="B1717" t="str">
        <f t="shared" si="1806"/>
        <v>SPS1</v>
      </c>
      <c r="C1717" t="str">
        <f t="shared" si="1807"/>
        <v>CH</v>
      </c>
      <c r="D1717" t="s">
        <v>1743</v>
      </c>
      <c r="E1717" t="str">
        <f t="shared" si="1808"/>
        <v>PJ/yr.</v>
      </c>
      <c r="F1717" s="1">
        <f t="shared" si="1804"/>
        <v>117.52488736368969</v>
      </c>
      <c r="G1717" s="1">
        <f t="shared" si="1804"/>
        <v>112.68583504147009</v>
      </c>
      <c r="H1717" s="1">
        <f t="shared" si="1804"/>
        <v>95.748445720999754</v>
      </c>
      <c r="I1717" s="1">
        <f t="shared" si="1804"/>
        <v>69.136065180247627</v>
      </c>
      <c r="J1717" s="1">
        <f t="shared" si="1804"/>
        <v>48.500916664891413</v>
      </c>
      <c r="K1717" s="1">
        <f t="shared" si="1804"/>
        <v>37.127890618488088</v>
      </c>
      <c r="L1717" s="1">
        <f t="shared" ref="L1717" si="1813">L26</f>
        <v>27.405116023282371</v>
      </c>
      <c r="N1717" s="1"/>
    </row>
    <row r="1718" spans="2:14" x14ac:dyDescent="0.35">
      <c r="B1718" t="str">
        <f t="shared" si="1806"/>
        <v>SPS1</v>
      </c>
      <c r="C1718" t="str">
        <f t="shared" si="1807"/>
        <v>CH</v>
      </c>
      <c r="D1718" t="s">
        <v>1744</v>
      </c>
      <c r="E1718" t="str">
        <f t="shared" si="1808"/>
        <v>PJ/yr.</v>
      </c>
      <c r="F1718" s="1">
        <f t="shared" si="1804"/>
        <v>80.538262271559617</v>
      </c>
      <c r="G1718" s="1">
        <f t="shared" si="1804"/>
        <v>74.701288745619181</v>
      </c>
      <c r="H1718" s="1">
        <f t="shared" si="1804"/>
        <v>71.058841507539654</v>
      </c>
      <c r="I1718" s="1">
        <f t="shared" si="1804"/>
        <v>42.843897482028098</v>
      </c>
      <c r="J1718" s="1">
        <f t="shared" si="1804"/>
        <v>26.040204462534401</v>
      </c>
      <c r="K1718" s="1">
        <f t="shared" si="1804"/>
        <v>25.307666796311594</v>
      </c>
      <c r="L1718" s="1">
        <f t="shared" ref="L1718" si="1814">L27</f>
        <v>19.54993409366147</v>
      </c>
      <c r="N1718" s="1"/>
    </row>
    <row r="1719" spans="2:14" x14ac:dyDescent="0.35">
      <c r="B1719" t="str">
        <f t="shared" si="1806"/>
        <v>SPS1</v>
      </c>
      <c r="C1719" t="str">
        <f t="shared" si="1807"/>
        <v>CH</v>
      </c>
      <c r="D1719" t="s">
        <v>1745</v>
      </c>
      <c r="E1719" t="str">
        <f t="shared" si="1808"/>
        <v>PJ/yr.</v>
      </c>
      <c r="F1719" s="1">
        <f t="shared" si="1804"/>
        <v>1.1089892146883049</v>
      </c>
      <c r="G1719" s="1">
        <f t="shared" si="1804"/>
        <v>1.4052035590182419</v>
      </c>
      <c r="H1719" s="1">
        <f t="shared" si="1804"/>
        <v>1.8484572389636504</v>
      </c>
      <c r="I1719" s="1">
        <f t="shared" si="1804"/>
        <v>2.5718155868009052</v>
      </c>
      <c r="J1719" s="1">
        <f t="shared" si="1804"/>
        <v>1.6072519612374747</v>
      </c>
      <c r="K1719" s="1">
        <f t="shared" si="1804"/>
        <v>0.69710064721191412</v>
      </c>
      <c r="L1719" s="1">
        <f t="shared" ref="L1719" si="1815">L28</f>
        <v>2.8694007792370032E-6</v>
      </c>
      <c r="N1719" s="1"/>
    </row>
    <row r="1720" spans="2:14" x14ac:dyDescent="0.35">
      <c r="B1720" t="str">
        <f t="shared" si="1806"/>
        <v>SPS1</v>
      </c>
      <c r="C1720" t="str">
        <f t="shared" si="1807"/>
        <v>CH</v>
      </c>
      <c r="D1720" t="s">
        <v>1746</v>
      </c>
      <c r="E1720" t="str">
        <f t="shared" si="1808"/>
        <v>PJ/yr.</v>
      </c>
      <c r="F1720" s="1">
        <f t="shared" si="1804"/>
        <v>6.8051208865518049</v>
      </c>
      <c r="G1720" s="1">
        <f t="shared" si="1804"/>
        <v>6.7039971645753589</v>
      </c>
      <c r="H1720" s="1">
        <f t="shared" si="1804"/>
        <v>7.1808633145494687</v>
      </c>
      <c r="I1720" s="1">
        <f t="shared" si="1804"/>
        <v>11.705047207088555</v>
      </c>
      <c r="J1720" s="1">
        <f t="shared" si="1804"/>
        <v>9.6285685874512055</v>
      </c>
      <c r="K1720" s="1">
        <f t="shared" si="1804"/>
        <v>9.5215180791741503</v>
      </c>
      <c r="L1720" s="1">
        <f t="shared" ref="L1720" si="1816">L29</f>
        <v>7.7809179575856922</v>
      </c>
      <c r="N1720" s="1"/>
    </row>
    <row r="1721" spans="2:14" x14ac:dyDescent="0.35">
      <c r="B1721" t="str">
        <f t="shared" si="1806"/>
        <v>SPS1</v>
      </c>
      <c r="C1721" t="str">
        <f t="shared" si="1807"/>
        <v>CH</v>
      </c>
      <c r="D1721" t="s">
        <v>1747</v>
      </c>
      <c r="E1721" t="str">
        <f t="shared" si="1808"/>
        <v>PJ/yr.</v>
      </c>
      <c r="F1721" s="1">
        <f t="shared" si="1804"/>
        <v>2.3705794343086715</v>
      </c>
      <c r="G1721" s="1">
        <f t="shared" si="1804"/>
        <v>2.3780005632590169</v>
      </c>
      <c r="H1721" s="1">
        <f t="shared" si="1804"/>
        <v>3.295181723845106</v>
      </c>
      <c r="I1721" s="1">
        <f t="shared" si="1804"/>
        <v>4.1472494018671</v>
      </c>
      <c r="J1721" s="1">
        <f t="shared" si="1804"/>
        <v>2.0489383322416206</v>
      </c>
      <c r="K1721" s="1">
        <f t="shared" si="1804"/>
        <v>1.581774270541322</v>
      </c>
      <c r="L1721" s="1">
        <f t="shared" ref="L1721" si="1817">L30</f>
        <v>-8.2349072729476447E-2</v>
      </c>
      <c r="N1721" s="1"/>
    </row>
    <row r="1722" spans="2:14" x14ac:dyDescent="0.35">
      <c r="B1722" t="str">
        <f t="shared" si="1806"/>
        <v>SPS1</v>
      </c>
      <c r="C1722" t="str">
        <f t="shared" si="1807"/>
        <v>CH</v>
      </c>
      <c r="D1722" t="s">
        <v>1748</v>
      </c>
      <c r="E1722" t="str">
        <f t="shared" si="1808"/>
        <v>PJ/yr.</v>
      </c>
      <c r="F1722" s="1">
        <f t="shared" si="1804"/>
        <v>4.4341506418825913</v>
      </c>
      <c r="G1722" s="1">
        <f t="shared" si="1804"/>
        <v>4.3259844240819616</v>
      </c>
      <c r="H1722" s="1">
        <f t="shared" si="1804"/>
        <v>3.8851868700954437</v>
      </c>
      <c r="I1722" s="1">
        <f t="shared" si="1804"/>
        <v>2.4820303883816024</v>
      </c>
      <c r="J1722" s="1">
        <f t="shared" si="1804"/>
        <v>1.5724147320600286</v>
      </c>
      <c r="K1722" s="1">
        <f t="shared" si="1804"/>
        <v>1.4656110311705863</v>
      </c>
      <c r="L1722" s="1">
        <f t="shared" ref="L1722" si="1818">L31</f>
        <v>1.1321414225150479</v>
      </c>
      <c r="N1722" s="1"/>
    </row>
    <row r="1723" spans="2:14" x14ac:dyDescent="0.35">
      <c r="B1723" t="str">
        <f t="shared" si="1806"/>
        <v>SPS1</v>
      </c>
      <c r="C1723" t="str">
        <f t="shared" si="1807"/>
        <v>CH</v>
      </c>
      <c r="D1723" t="s">
        <v>1749</v>
      </c>
      <c r="E1723" t="str">
        <f t="shared" si="1808"/>
        <v>PJ/yr.</v>
      </c>
      <c r="F1723" s="1">
        <f t="shared" ref="F1723:K1725" si="1819">F33</f>
        <v>6.8051208865518049</v>
      </c>
      <c r="G1723" s="1">
        <f t="shared" si="1819"/>
        <v>6.7039971645753589</v>
      </c>
      <c r="H1723" s="1">
        <f t="shared" si="1819"/>
        <v>7.1808633145494687</v>
      </c>
      <c r="I1723" s="1">
        <f t="shared" si="1819"/>
        <v>11.705047207088555</v>
      </c>
      <c r="J1723" s="1">
        <f t="shared" si="1819"/>
        <v>8.6971204811415017</v>
      </c>
      <c r="K1723" s="1">
        <f t="shared" si="1819"/>
        <v>9.0546008248614633</v>
      </c>
      <c r="L1723" s="1">
        <f t="shared" ref="L1723" si="1820">L33</f>
        <v>7.5239251272478143</v>
      </c>
      <c r="N1723" s="1"/>
    </row>
    <row r="1724" spans="2:14" x14ac:dyDescent="0.35">
      <c r="B1724" t="str">
        <f t="shared" si="1806"/>
        <v>SPS1</v>
      </c>
      <c r="C1724" t="str">
        <f t="shared" si="1807"/>
        <v>CH</v>
      </c>
      <c r="D1724" t="s">
        <v>1750</v>
      </c>
      <c r="E1724" t="str">
        <f t="shared" si="1808"/>
        <v>PJ/yr.</v>
      </c>
      <c r="F1724" s="1">
        <f t="shared" si="1819"/>
        <v>2.3705794343086715</v>
      </c>
      <c r="G1724" s="1">
        <f t="shared" si="1819"/>
        <v>2.3780005632590169</v>
      </c>
      <c r="H1724" s="1">
        <f t="shared" si="1819"/>
        <v>3.295181723845106</v>
      </c>
      <c r="I1724" s="1">
        <f t="shared" si="1819"/>
        <v>4.1472494018671</v>
      </c>
      <c r="J1724" s="1">
        <f t="shared" si="1819"/>
        <v>2.0489383322416206</v>
      </c>
      <c r="K1724" s="1">
        <f t="shared" si="1819"/>
        <v>1.581774270541322</v>
      </c>
      <c r="L1724" s="1">
        <f t="shared" ref="L1724" si="1821">L34</f>
        <v>-8.2349072729476447E-2</v>
      </c>
      <c r="N1724" s="1"/>
    </row>
    <row r="1725" spans="2:14" x14ac:dyDescent="0.35">
      <c r="B1725" t="str">
        <f t="shared" si="1806"/>
        <v>SPS1</v>
      </c>
      <c r="C1725" t="str">
        <f t="shared" si="1807"/>
        <v>CH</v>
      </c>
      <c r="D1725" t="s">
        <v>1751</v>
      </c>
      <c r="E1725" t="str">
        <f t="shared" si="1808"/>
        <v>PJ/yr.</v>
      </c>
      <c r="F1725" s="1">
        <f t="shared" si="1819"/>
        <v>4.4341506418825913</v>
      </c>
      <c r="G1725" s="1">
        <f t="shared" si="1819"/>
        <v>4.3259844240819616</v>
      </c>
      <c r="H1725" s="1">
        <f t="shared" si="1819"/>
        <v>3.8851868700954437</v>
      </c>
      <c r="I1725" s="1">
        <f t="shared" si="1819"/>
        <v>2.4820303883816024</v>
      </c>
      <c r="J1725" s="1">
        <f t="shared" si="1819"/>
        <v>1.5724147320600286</v>
      </c>
      <c r="K1725" s="1">
        <f t="shared" si="1819"/>
        <v>1.4656110311705863</v>
      </c>
      <c r="L1725" s="1">
        <f t="shared" ref="L1725" si="1822">L35</f>
        <v>1.1321414225150479</v>
      </c>
      <c r="N1725" s="1"/>
    </row>
    <row r="1726" spans="2:14" x14ac:dyDescent="0.35">
      <c r="B1726" t="str">
        <f t="shared" si="1806"/>
        <v>SPS1</v>
      </c>
      <c r="C1726" t="str">
        <f t="shared" si="1807"/>
        <v>CH</v>
      </c>
      <c r="D1726" t="s">
        <v>1752</v>
      </c>
      <c r="E1726" t="str">
        <f t="shared" si="1808"/>
        <v>PJ/yr.</v>
      </c>
      <c r="F1726" s="1">
        <f t="shared" ref="F1726:K1739" si="1823">F37</f>
        <v>0</v>
      </c>
      <c r="G1726" s="1">
        <f t="shared" si="1823"/>
        <v>0</v>
      </c>
      <c r="H1726" s="1">
        <f t="shared" si="1823"/>
        <v>0</v>
      </c>
      <c r="I1726" s="1">
        <f t="shared" si="1823"/>
        <v>0</v>
      </c>
      <c r="J1726" s="1">
        <f t="shared" si="1823"/>
        <v>0.93144810630970376</v>
      </c>
      <c r="K1726" s="1">
        <f t="shared" si="1823"/>
        <v>0.46691725431268694</v>
      </c>
      <c r="L1726" s="1">
        <f t="shared" ref="L1726" si="1824">L37</f>
        <v>0.2569928303378779</v>
      </c>
      <c r="N1726" s="1"/>
    </row>
    <row r="1727" spans="2:14" x14ac:dyDescent="0.35">
      <c r="B1727" t="str">
        <f t="shared" si="1806"/>
        <v>SPS1</v>
      </c>
      <c r="C1727" t="str">
        <f t="shared" si="1807"/>
        <v>CH</v>
      </c>
      <c r="D1727" t="s">
        <v>1753</v>
      </c>
      <c r="E1727" t="str">
        <f t="shared" si="1808"/>
        <v>PJ/yr.</v>
      </c>
      <c r="F1727" s="1">
        <f t="shared" si="1823"/>
        <v>0</v>
      </c>
      <c r="G1727" s="1">
        <f t="shared" si="1823"/>
        <v>0</v>
      </c>
      <c r="H1727" s="1">
        <f t="shared" si="1823"/>
        <v>0</v>
      </c>
      <c r="I1727" s="1">
        <f t="shared" si="1823"/>
        <v>0</v>
      </c>
      <c r="J1727" s="1">
        <f t="shared" si="1823"/>
        <v>0</v>
      </c>
      <c r="K1727" s="1">
        <f t="shared" si="1823"/>
        <v>0</v>
      </c>
      <c r="L1727" s="1">
        <f t="shared" ref="L1727" si="1825">L38</f>
        <v>0</v>
      </c>
      <c r="N1727" s="1"/>
    </row>
    <row r="1728" spans="2:14" x14ac:dyDescent="0.35">
      <c r="B1728" t="str">
        <f t="shared" si="1806"/>
        <v>SPS1</v>
      </c>
      <c r="C1728" t="str">
        <f t="shared" si="1807"/>
        <v>CH</v>
      </c>
      <c r="D1728" t="s">
        <v>1754</v>
      </c>
      <c r="E1728" t="str">
        <f t="shared" si="1808"/>
        <v>PJ/yr.</v>
      </c>
      <c r="F1728" s="1">
        <f t="shared" si="1823"/>
        <v>0</v>
      </c>
      <c r="G1728" s="1">
        <f t="shared" si="1823"/>
        <v>0</v>
      </c>
      <c r="H1728" s="1">
        <f t="shared" si="1823"/>
        <v>0</v>
      </c>
      <c r="I1728" s="1">
        <f t="shared" si="1823"/>
        <v>0</v>
      </c>
      <c r="J1728" s="1">
        <f t="shared" si="1823"/>
        <v>0</v>
      </c>
      <c r="K1728" s="1">
        <f t="shared" si="1823"/>
        <v>0</v>
      </c>
      <c r="L1728" s="1">
        <f t="shared" ref="L1728" si="1826">L39</f>
        <v>0</v>
      </c>
      <c r="N1728" s="1"/>
    </row>
    <row r="1729" spans="2:14" x14ac:dyDescent="0.35">
      <c r="B1729" t="str">
        <f t="shared" si="1806"/>
        <v>SPS1</v>
      </c>
      <c r="C1729" t="str">
        <f t="shared" si="1807"/>
        <v>CH</v>
      </c>
      <c r="D1729" t="s">
        <v>1755</v>
      </c>
      <c r="E1729" t="str">
        <f t="shared" si="1808"/>
        <v>PJ/yr.</v>
      </c>
      <c r="F1729" s="1">
        <f t="shared" si="1823"/>
        <v>0</v>
      </c>
      <c r="G1729" s="1">
        <f t="shared" si="1823"/>
        <v>0</v>
      </c>
      <c r="H1729" s="1">
        <f t="shared" si="1823"/>
        <v>0</v>
      </c>
      <c r="I1729" s="1">
        <f t="shared" si="1823"/>
        <v>0</v>
      </c>
      <c r="J1729" s="1">
        <f t="shared" si="1823"/>
        <v>0.93144810630970376</v>
      </c>
      <c r="K1729" s="1">
        <f t="shared" si="1823"/>
        <v>0.46691725431268694</v>
      </c>
      <c r="L1729" s="1">
        <f t="shared" ref="L1729" si="1827">L40</f>
        <v>0.2569928303378779</v>
      </c>
      <c r="N1729" s="1"/>
    </row>
    <row r="1730" spans="2:14" x14ac:dyDescent="0.35">
      <c r="B1730" t="str">
        <f t="shared" si="1806"/>
        <v>SPS1</v>
      </c>
      <c r="C1730" t="str">
        <f t="shared" si="1807"/>
        <v>CH</v>
      </c>
      <c r="D1730" t="s">
        <v>1756</v>
      </c>
      <c r="E1730" t="str">
        <f t="shared" si="1808"/>
        <v>PJ/yr.</v>
      </c>
      <c r="F1730" s="1">
        <f t="shared" si="1823"/>
        <v>117.04779675687243</v>
      </c>
      <c r="G1730" s="1">
        <f t="shared" si="1823"/>
        <v>107.23650069597142</v>
      </c>
      <c r="H1730" s="1">
        <f t="shared" si="1823"/>
        <v>107.19739835677576</v>
      </c>
      <c r="I1730" s="1">
        <f t="shared" si="1823"/>
        <v>103.74283725623924</v>
      </c>
      <c r="J1730" s="1">
        <f t="shared" si="1823"/>
        <v>109.2978392702812</v>
      </c>
      <c r="K1730" s="1">
        <f t="shared" si="1823"/>
        <v>102.85834080002624</v>
      </c>
      <c r="L1730" s="1">
        <f t="shared" ref="L1730" si="1828">L41</f>
        <v>82.526996454955622</v>
      </c>
      <c r="N1730" s="1"/>
    </row>
    <row r="1731" spans="2:14" x14ac:dyDescent="0.35">
      <c r="B1731" t="str">
        <f t="shared" si="1806"/>
        <v>SPS1</v>
      </c>
      <c r="C1731" t="str">
        <f t="shared" si="1807"/>
        <v>CH</v>
      </c>
      <c r="D1731" t="s">
        <v>1757</v>
      </c>
      <c r="E1731" t="str">
        <f t="shared" si="1808"/>
        <v>PJ/yr.</v>
      </c>
      <c r="F1731" s="1">
        <f t="shared" si="1823"/>
        <v>117.04779675687243</v>
      </c>
      <c r="G1731" s="1">
        <f t="shared" si="1823"/>
        <v>106.71999995850206</v>
      </c>
      <c r="H1731" s="1">
        <f t="shared" si="1823"/>
        <v>107.15776278528217</v>
      </c>
      <c r="I1731" s="1">
        <f t="shared" si="1823"/>
        <v>101.03270197674955</v>
      </c>
      <c r="J1731" s="1">
        <f t="shared" si="1823"/>
        <v>103.37913965028666</v>
      </c>
      <c r="K1731" s="1">
        <f t="shared" si="1823"/>
        <v>96.820494285439977</v>
      </c>
      <c r="L1731" s="1">
        <f t="shared" ref="L1731" si="1829">L42</f>
        <v>76.245606957270752</v>
      </c>
      <c r="N1731" s="1"/>
    </row>
    <row r="1732" spans="2:14" x14ac:dyDescent="0.35">
      <c r="B1732" t="str">
        <f t="shared" si="1806"/>
        <v>SPS1</v>
      </c>
      <c r="C1732" t="str">
        <f t="shared" si="1807"/>
        <v>CH</v>
      </c>
      <c r="D1732" t="s">
        <v>1758</v>
      </c>
      <c r="E1732" t="str">
        <f t="shared" si="1808"/>
        <v>PJ/yr.</v>
      </c>
      <c r="F1732" s="1">
        <f t="shared" si="1823"/>
        <v>117.04779675687243</v>
      </c>
      <c r="G1732" s="1">
        <f t="shared" si="1823"/>
        <v>106.71999995850206</v>
      </c>
      <c r="H1732" s="1">
        <f t="shared" si="1823"/>
        <v>107.15776278528217</v>
      </c>
      <c r="I1732" s="1">
        <f t="shared" si="1823"/>
        <v>101.03240281673969</v>
      </c>
      <c r="J1732" s="1">
        <f t="shared" si="1823"/>
        <v>103.3788407930529</v>
      </c>
      <c r="K1732" s="1">
        <f t="shared" si="1823"/>
        <v>96.820407226498915</v>
      </c>
      <c r="L1732" s="1">
        <f t="shared" ref="L1732" si="1830">L43</f>
        <v>76.245457856863837</v>
      </c>
      <c r="N1732" s="1"/>
    </row>
    <row r="1733" spans="2:14" x14ac:dyDescent="0.35">
      <c r="B1733" t="str">
        <f t="shared" si="1806"/>
        <v>SPS1</v>
      </c>
      <c r="C1733" t="str">
        <f t="shared" si="1807"/>
        <v>CH</v>
      </c>
      <c r="D1733" t="s">
        <v>1759</v>
      </c>
      <c r="E1733" t="str">
        <f t="shared" si="1808"/>
        <v>PJ/yr.</v>
      </c>
      <c r="F1733" s="1">
        <f t="shared" si="1823"/>
        <v>0</v>
      </c>
      <c r="G1733" s="1">
        <f t="shared" si="1823"/>
        <v>0</v>
      </c>
      <c r="H1733" s="1">
        <f t="shared" si="1823"/>
        <v>0</v>
      </c>
      <c r="I1733" s="1">
        <f t="shared" si="1823"/>
        <v>2.991600098631315E-4</v>
      </c>
      <c r="J1733" s="1">
        <f t="shared" si="1823"/>
        <v>2.9885723376467773E-4</v>
      </c>
      <c r="K1733" s="1">
        <f t="shared" si="1823"/>
        <v>8.7058941063537473E-5</v>
      </c>
      <c r="L1733" s="1">
        <f t="shared" ref="L1733" si="1831">L44</f>
        <v>1.4910040692113231E-4</v>
      </c>
      <c r="N1733" s="1"/>
    </row>
    <row r="1734" spans="2:14" x14ac:dyDescent="0.35">
      <c r="B1734" t="str">
        <f t="shared" si="1806"/>
        <v>SPS1</v>
      </c>
      <c r="C1734" t="str">
        <f t="shared" si="1807"/>
        <v>CH</v>
      </c>
      <c r="D1734" t="s">
        <v>1760</v>
      </c>
      <c r="E1734" t="str">
        <f t="shared" si="1808"/>
        <v>PJ/yr.</v>
      </c>
      <c r="F1734" s="1">
        <f t="shared" si="1823"/>
        <v>0</v>
      </c>
      <c r="G1734" s="1">
        <f t="shared" si="1823"/>
        <v>0.51650073746935232</v>
      </c>
      <c r="H1734" s="1">
        <f t="shared" si="1823"/>
        <v>3.9635571493592869E-2</v>
      </c>
      <c r="I1734" s="1">
        <f t="shared" si="1823"/>
        <v>2.7101352794896929</v>
      </c>
      <c r="J1734" s="1">
        <f t="shared" si="1823"/>
        <v>5.9186996199945474</v>
      </c>
      <c r="K1734" s="1">
        <f t="shared" si="1823"/>
        <v>6.037846514586267</v>
      </c>
      <c r="L1734" s="1">
        <f t="shared" ref="L1734" si="1832">L45</f>
        <v>6.281389497684871</v>
      </c>
      <c r="N1734" s="1"/>
    </row>
    <row r="1735" spans="2:14" x14ac:dyDescent="0.35">
      <c r="B1735" t="str">
        <f t="shared" si="1806"/>
        <v>SPS1</v>
      </c>
      <c r="C1735" t="str">
        <f t="shared" si="1807"/>
        <v>CH</v>
      </c>
      <c r="D1735" t="s">
        <v>1761</v>
      </c>
      <c r="E1735" t="str">
        <f t="shared" si="1808"/>
        <v>PJ/yr.</v>
      </c>
      <c r="F1735" s="1">
        <f t="shared" si="1823"/>
        <v>0</v>
      </c>
      <c r="G1735" s="1">
        <f t="shared" si="1823"/>
        <v>0.51650073746935232</v>
      </c>
      <c r="H1735" s="1">
        <f t="shared" si="1823"/>
        <v>3.9635571493592869E-2</v>
      </c>
      <c r="I1735" s="1">
        <f t="shared" si="1823"/>
        <v>2.7101352794896929</v>
      </c>
      <c r="J1735" s="1">
        <f t="shared" si="1823"/>
        <v>2.7101352794896929</v>
      </c>
      <c r="K1735" s="1">
        <f t="shared" si="1823"/>
        <v>5.9186996199945474</v>
      </c>
      <c r="L1735" s="1">
        <f t="shared" ref="L1735" si="1833">L46</f>
        <v>6.037846514586267</v>
      </c>
      <c r="N1735" s="1"/>
    </row>
    <row r="1736" spans="2:14" x14ac:dyDescent="0.35">
      <c r="B1736" t="str">
        <f t="shared" si="1806"/>
        <v>SPS1</v>
      </c>
      <c r="C1736" t="str">
        <f t="shared" si="1807"/>
        <v>CH</v>
      </c>
      <c r="D1736" t="s">
        <v>1762</v>
      </c>
      <c r="E1736" t="str">
        <f t="shared" si="1808"/>
        <v>PJ/yr.</v>
      </c>
      <c r="F1736" s="1">
        <f t="shared" si="1823"/>
        <v>0</v>
      </c>
      <c r="G1736" s="1">
        <f t="shared" si="1823"/>
        <v>0.51650073746935232</v>
      </c>
      <c r="H1736" s="1">
        <f t="shared" si="1823"/>
        <v>3.9635571493592869E-2</v>
      </c>
      <c r="I1736" s="1">
        <f t="shared" si="1823"/>
        <v>2.7101352794896929</v>
      </c>
      <c r="J1736" s="1">
        <f t="shared" si="1823"/>
        <v>2.7101352794896929</v>
      </c>
      <c r="K1736" s="1">
        <f t="shared" si="1823"/>
        <v>5.9186996199945474</v>
      </c>
      <c r="L1736" s="1">
        <f t="shared" ref="L1736" si="1834">L47</f>
        <v>6.037846514586267</v>
      </c>
      <c r="N1736" s="1"/>
    </row>
    <row r="1737" spans="2:14" x14ac:dyDescent="0.35">
      <c r="B1737" t="str">
        <f t="shared" si="1806"/>
        <v>SPS1</v>
      </c>
      <c r="C1737" t="str">
        <f t="shared" si="1807"/>
        <v>CH</v>
      </c>
      <c r="D1737" t="s">
        <v>1763</v>
      </c>
      <c r="E1737" t="str">
        <f t="shared" si="1808"/>
        <v>PJ/yr.</v>
      </c>
      <c r="F1737" s="1">
        <f t="shared" si="1823"/>
        <v>0</v>
      </c>
      <c r="G1737" s="1">
        <f t="shared" si="1823"/>
        <v>0</v>
      </c>
      <c r="H1737" s="1">
        <f t="shared" si="1823"/>
        <v>0</v>
      </c>
      <c r="I1737" s="1">
        <f t="shared" si="1823"/>
        <v>0</v>
      </c>
      <c r="J1737" s="1">
        <f t="shared" si="1823"/>
        <v>3.2085643405048545</v>
      </c>
      <c r="K1737" s="1">
        <f t="shared" si="1823"/>
        <v>0.11914689459171957</v>
      </c>
      <c r="L1737" s="1">
        <f t="shared" ref="L1737" si="1835">L48</f>
        <v>0.243542983098604</v>
      </c>
      <c r="N1737" s="1"/>
    </row>
    <row r="1738" spans="2:14" x14ac:dyDescent="0.35">
      <c r="B1738" t="str">
        <f t="shared" si="1806"/>
        <v>SPS1</v>
      </c>
      <c r="C1738" t="str">
        <f t="shared" si="1807"/>
        <v>CH</v>
      </c>
      <c r="D1738" t="s">
        <v>1764</v>
      </c>
      <c r="E1738" t="str">
        <f t="shared" si="1808"/>
        <v>PJ/yr.</v>
      </c>
      <c r="F1738" s="1">
        <f t="shared" si="1823"/>
        <v>0</v>
      </c>
      <c r="G1738" s="1">
        <f t="shared" si="1823"/>
        <v>0</v>
      </c>
      <c r="H1738" s="1">
        <f t="shared" si="1823"/>
        <v>0</v>
      </c>
      <c r="I1738" s="1">
        <f t="shared" si="1823"/>
        <v>0</v>
      </c>
      <c r="J1738" s="1">
        <f t="shared" si="1823"/>
        <v>3.2085643405048545</v>
      </c>
      <c r="K1738" s="1">
        <f t="shared" si="1823"/>
        <v>0.11914689459171957</v>
      </c>
      <c r="L1738" s="1">
        <f t="shared" ref="L1738" si="1836">L49</f>
        <v>0.243542983098604</v>
      </c>
      <c r="N1738" s="1"/>
    </row>
    <row r="1739" spans="2:14" x14ac:dyDescent="0.35">
      <c r="B1739" t="str">
        <f t="shared" si="1806"/>
        <v>SPS1</v>
      </c>
      <c r="C1739" t="str">
        <f t="shared" si="1807"/>
        <v>CH</v>
      </c>
      <c r="D1739" t="s">
        <v>1765</v>
      </c>
      <c r="E1739" t="str">
        <f t="shared" si="1808"/>
        <v>PJ/yr.</v>
      </c>
      <c r="F1739" s="1">
        <f t="shared" si="1823"/>
        <v>250.94817811360252</v>
      </c>
      <c r="G1739" s="1">
        <f t="shared" si="1823"/>
        <v>253.30007324334682</v>
      </c>
      <c r="H1739" s="1">
        <f t="shared" si="1823"/>
        <v>233.22742609086151</v>
      </c>
      <c r="I1739" s="1">
        <f t="shared" si="1823"/>
        <v>211.90228197968187</v>
      </c>
      <c r="J1739" s="1">
        <f t="shared" si="1823"/>
        <v>190.50729033456858</v>
      </c>
      <c r="K1739" s="1">
        <f t="shared" si="1823"/>
        <v>190.50731732366512</v>
      </c>
      <c r="L1739" s="1">
        <f t="shared" ref="L1739" si="1837">L50</f>
        <v>278.03324468182126</v>
      </c>
      <c r="N1739" s="1"/>
    </row>
    <row r="1740" spans="2:14" x14ac:dyDescent="0.35">
      <c r="B1740" t="str">
        <f t="shared" si="1806"/>
        <v>SPS1</v>
      </c>
      <c r="C1740" t="str">
        <f t="shared" si="1807"/>
        <v>CH</v>
      </c>
      <c r="D1740" t="s">
        <v>1766</v>
      </c>
      <c r="E1740" t="str">
        <f t="shared" si="1808"/>
        <v>PJ/yr.</v>
      </c>
      <c r="F1740" s="1">
        <f t="shared" ref="F1740:K1740" si="1838">-F58+F51</f>
        <v>-20.010001508963057</v>
      </c>
      <c r="G1740" s="1">
        <f t="shared" si="1838"/>
        <v>14.65135746265819</v>
      </c>
      <c r="H1740" s="1">
        <f t="shared" si="1838"/>
        <v>-24.173229243661538</v>
      </c>
      <c r="I1740" s="1">
        <f t="shared" si="1838"/>
        <v>-8.0357426187227858</v>
      </c>
      <c r="J1740" s="1">
        <f t="shared" si="1838"/>
        <v>14.989195737625501</v>
      </c>
      <c r="K1740" s="1">
        <f t="shared" si="1838"/>
        <v>20.59120985270253</v>
      </c>
      <c r="L1740" s="1">
        <f t="shared" ref="L1740" si="1839">-L58+L51</f>
        <v>-6.8460736939743629</v>
      </c>
      <c r="N1740" s="1"/>
    </row>
    <row r="1741" spans="2:14" x14ac:dyDescent="0.35">
      <c r="B1741" t="str">
        <f t="shared" si="1806"/>
        <v>SPS1</v>
      </c>
      <c r="C1741" t="str">
        <f t="shared" si="1807"/>
        <v>CH</v>
      </c>
      <c r="D1741" t="s">
        <v>1767</v>
      </c>
      <c r="E1741" t="str">
        <f t="shared" si="1808"/>
        <v>PJ/yr.</v>
      </c>
      <c r="F1741" s="1">
        <f t="shared" ref="F1741:K1741" si="1840">F56</f>
        <v>0</v>
      </c>
      <c r="G1741" s="1">
        <f t="shared" si="1840"/>
        <v>0</v>
      </c>
      <c r="H1741" s="1">
        <f t="shared" si="1840"/>
        <v>0</v>
      </c>
      <c r="I1741" s="1">
        <f t="shared" si="1840"/>
        <v>0</v>
      </c>
      <c r="J1741" s="1">
        <f t="shared" si="1840"/>
        <v>0</v>
      </c>
      <c r="K1741" s="1">
        <f t="shared" si="1840"/>
        <v>7.184609358289461E-5</v>
      </c>
      <c r="L1741" s="1">
        <f t="shared" ref="L1741" si="1841">L56</f>
        <v>7.199672519050043E-5</v>
      </c>
      <c r="N1741" s="1"/>
    </row>
    <row r="1742" spans="2:14" x14ac:dyDescent="0.35">
      <c r="B1742" t="str">
        <f t="shared" si="1806"/>
        <v>SPS1</v>
      </c>
      <c r="C1742" t="str">
        <f t="shared" si="1807"/>
        <v>CH</v>
      </c>
      <c r="D1742" t="s">
        <v>1769</v>
      </c>
      <c r="E1742" t="str">
        <f t="shared" ref="E1742:K1751" si="1842">E3</f>
        <v>PJ/yr.</v>
      </c>
      <c r="F1742" s="1">
        <f t="shared" si="1842"/>
        <v>44.97243534260808</v>
      </c>
      <c r="G1742" s="1">
        <f t="shared" si="1842"/>
        <v>48.190470921063309</v>
      </c>
      <c r="H1742" s="1">
        <f t="shared" si="1842"/>
        <v>48.190518046394359</v>
      </c>
      <c r="I1742" s="1">
        <f t="shared" si="1842"/>
        <v>48.190519675321539</v>
      </c>
      <c r="J1742" s="1">
        <f t="shared" si="1842"/>
        <v>48.530379652884832</v>
      </c>
      <c r="K1742" s="1">
        <f t="shared" si="1842"/>
        <v>49.300940728338986</v>
      </c>
      <c r="L1742" s="1">
        <f t="shared" ref="L1742" si="1843">L3</f>
        <v>49.300940693431315</v>
      </c>
      <c r="N1742" s="1"/>
    </row>
    <row r="1743" spans="2:14" x14ac:dyDescent="0.35">
      <c r="B1743" t="str">
        <f t="shared" si="1806"/>
        <v>SPS1</v>
      </c>
      <c r="C1743" t="str">
        <f t="shared" si="1807"/>
        <v>CH</v>
      </c>
      <c r="D1743" t="s">
        <v>1770</v>
      </c>
      <c r="E1743" t="str">
        <f t="shared" si="1842"/>
        <v>PJ/yr.</v>
      </c>
      <c r="F1743" s="1">
        <f t="shared" si="1842"/>
        <v>11.111878213818668</v>
      </c>
      <c r="G1743" s="1">
        <f t="shared" si="1842"/>
        <v>11.952883852329043</v>
      </c>
      <c r="H1743" s="1">
        <f t="shared" si="1842"/>
        <v>13.214393722284331</v>
      </c>
      <c r="I1743" s="1">
        <f t="shared" si="1842"/>
        <v>15.316910326063205</v>
      </c>
      <c r="J1743" s="1">
        <f t="shared" si="1842"/>
        <v>15.849139756754823</v>
      </c>
      <c r="K1743" s="1">
        <f t="shared" si="1842"/>
        <v>16.26639674257331</v>
      </c>
      <c r="L1743" s="1">
        <f t="shared" ref="L1743" si="1844">L4</f>
        <v>16.95699428453835</v>
      </c>
      <c r="N1743" s="1"/>
    </row>
    <row r="1744" spans="2:14" x14ac:dyDescent="0.35">
      <c r="B1744" t="str">
        <f t="shared" si="1806"/>
        <v>SPS1</v>
      </c>
      <c r="C1744" t="str">
        <f t="shared" si="1807"/>
        <v>CH</v>
      </c>
      <c r="D1744" t="s">
        <v>1771</v>
      </c>
      <c r="E1744" t="str">
        <f t="shared" si="1842"/>
        <v>PJ/yr.</v>
      </c>
      <c r="F1744" s="1">
        <f t="shared" si="1842"/>
        <v>7.511671348406523</v>
      </c>
      <c r="G1744" s="1">
        <f t="shared" si="1842"/>
        <v>7.5431417282590161</v>
      </c>
      <c r="H1744" s="1">
        <f t="shared" si="1842"/>
        <v>7.5903487008532862</v>
      </c>
      <c r="I1744" s="1">
        <f t="shared" si="1842"/>
        <v>7.6690271540081607</v>
      </c>
      <c r="J1744" s="1">
        <f t="shared" si="1842"/>
        <v>7.6690269991885893</v>
      </c>
      <c r="K1744" s="1">
        <f t="shared" si="1842"/>
        <v>7.6690270829166804</v>
      </c>
      <c r="L1744" s="1">
        <f t="shared" ref="L1744" si="1845">L5</f>
        <v>7.6690271544650699</v>
      </c>
      <c r="N1744" s="1"/>
    </row>
    <row r="1745" spans="2:14" x14ac:dyDescent="0.35">
      <c r="B1745" t="str">
        <f t="shared" si="1806"/>
        <v>SPS1</v>
      </c>
      <c r="C1745" t="str">
        <f t="shared" si="1807"/>
        <v>CH</v>
      </c>
      <c r="D1745" t="s">
        <v>1772</v>
      </c>
      <c r="E1745" t="str">
        <f t="shared" si="1842"/>
        <v>PJ/yr.</v>
      </c>
      <c r="F1745" s="1">
        <f t="shared" si="1842"/>
        <v>3.1682451864176526</v>
      </c>
      <c r="G1745" s="1">
        <f t="shared" si="1842"/>
        <v>3.4956727093226689</v>
      </c>
      <c r="H1745" s="1">
        <f t="shared" si="1842"/>
        <v>3.9868152394287297</v>
      </c>
      <c r="I1745" s="1">
        <f t="shared" si="1842"/>
        <v>4.8053865474766759</v>
      </c>
      <c r="J1745" s="1">
        <f t="shared" si="1842"/>
        <v>4.8053863553524865</v>
      </c>
      <c r="K1745" s="1">
        <f t="shared" si="1842"/>
        <v>4.8053864762240774</v>
      </c>
      <c r="L1745" s="1">
        <f t="shared" ref="L1745" si="1846">L6</f>
        <v>4.8053862573809001</v>
      </c>
      <c r="N1745" s="1"/>
    </row>
    <row r="1746" spans="2:14" x14ac:dyDescent="0.35">
      <c r="B1746" t="str">
        <f t="shared" si="1806"/>
        <v>SPS1</v>
      </c>
      <c r="C1746" t="str">
        <f t="shared" si="1807"/>
        <v>CH</v>
      </c>
      <c r="D1746" t="s">
        <v>1773</v>
      </c>
      <c r="E1746" t="str">
        <f t="shared" si="1842"/>
        <v>PJ/yr.</v>
      </c>
      <c r="F1746" s="1">
        <f t="shared" si="1842"/>
        <v>23.180640593965236</v>
      </c>
      <c r="G1746" s="1">
        <f t="shared" si="1842"/>
        <v>25.198772631152583</v>
      </c>
      <c r="H1746" s="1">
        <f t="shared" si="1842"/>
        <v>23.398960383828015</v>
      </c>
      <c r="I1746" s="1">
        <f t="shared" si="1842"/>
        <v>20.399195647773499</v>
      </c>
      <c r="J1746" s="1">
        <f t="shared" si="1842"/>
        <v>20.206826541588931</v>
      </c>
      <c r="K1746" s="1">
        <f t="shared" si="1842"/>
        <v>20.560130426624916</v>
      </c>
      <c r="L1746" s="1">
        <f t="shared" ref="L1746" si="1847">L7</f>
        <v>19.869532997046996</v>
      </c>
      <c r="N1746" s="1"/>
    </row>
    <row r="1747" spans="2:14" x14ac:dyDescent="0.35">
      <c r="B1747" t="str">
        <f t="shared" si="1806"/>
        <v>SPS1</v>
      </c>
      <c r="C1747" t="str">
        <f t="shared" si="1807"/>
        <v>CH</v>
      </c>
      <c r="D1747" t="s">
        <v>1774</v>
      </c>
      <c r="E1747" t="str">
        <f t="shared" si="1842"/>
        <v>PJ/yr.</v>
      </c>
      <c r="F1747" s="1">
        <f t="shared" si="1842"/>
        <v>70.031507525952819</v>
      </c>
      <c r="G1747" s="1">
        <f t="shared" si="1842"/>
        <v>70.696978637661886</v>
      </c>
      <c r="H1747" s="1">
        <f t="shared" si="1842"/>
        <v>70.30407000901107</v>
      </c>
      <c r="I1747" s="1">
        <f t="shared" si="1842"/>
        <v>69.854559989066217</v>
      </c>
      <c r="J1747" s="1">
        <f t="shared" si="1842"/>
        <v>69.038006022248155</v>
      </c>
      <c r="K1747" s="1">
        <f t="shared" si="1842"/>
        <v>69.259870341772142</v>
      </c>
      <c r="L1747" s="1">
        <f t="shared" ref="L1747" si="1848">L8</f>
        <v>69.703598225605049</v>
      </c>
      <c r="N1747" s="1"/>
    </row>
    <row r="1748" spans="2:14" x14ac:dyDescent="0.35">
      <c r="B1748" t="str">
        <f t="shared" si="1806"/>
        <v>SPS1</v>
      </c>
      <c r="C1748" t="str">
        <f t="shared" si="1807"/>
        <v>CH</v>
      </c>
      <c r="D1748" t="s">
        <v>1775</v>
      </c>
      <c r="E1748" t="str">
        <f t="shared" si="1842"/>
        <v>PJ/yr.</v>
      </c>
      <c r="F1748" s="1">
        <f t="shared" si="1842"/>
        <v>35.931071219635335</v>
      </c>
      <c r="G1748" s="1">
        <f t="shared" si="1842"/>
        <v>35.882383983203951</v>
      </c>
      <c r="H1748" s="1">
        <f t="shared" si="1842"/>
        <v>35.489472801443291</v>
      </c>
      <c r="I1748" s="1">
        <f t="shared" si="1842"/>
        <v>35.039964672616627</v>
      </c>
      <c r="J1748" s="1">
        <f t="shared" si="1842"/>
        <v>34.937584040026394</v>
      </c>
      <c r="K1748" s="1">
        <f t="shared" si="1842"/>
        <v>35.159448323812484</v>
      </c>
      <c r="L1748" s="1">
        <f t="shared" ref="L1748" si="1849">L9</f>
        <v>35.603175772780908</v>
      </c>
      <c r="N1748" s="1"/>
    </row>
    <row r="1749" spans="2:14" x14ac:dyDescent="0.35">
      <c r="B1749" t="str">
        <f t="shared" si="1806"/>
        <v>SPS1</v>
      </c>
      <c r="C1749" t="str">
        <f t="shared" si="1807"/>
        <v>CH</v>
      </c>
      <c r="D1749" t="s">
        <v>1776</v>
      </c>
      <c r="E1749" t="str">
        <f t="shared" si="1842"/>
        <v>PJ/yr.</v>
      </c>
      <c r="F1749" s="1">
        <f t="shared" si="1842"/>
        <v>34.100436306317484</v>
      </c>
      <c r="G1749" s="1">
        <f t="shared" si="1842"/>
        <v>34.814594654457927</v>
      </c>
      <c r="H1749" s="1">
        <f t="shared" si="1842"/>
        <v>34.814597207567772</v>
      </c>
      <c r="I1749" s="1">
        <f t="shared" si="1842"/>
        <v>34.814595316449584</v>
      </c>
      <c r="J1749" s="1">
        <f t="shared" si="1842"/>
        <v>34.100421982221761</v>
      </c>
      <c r="K1749" s="1">
        <f t="shared" si="1842"/>
        <v>34.100422017959659</v>
      </c>
      <c r="L1749" s="1">
        <f t="shared" ref="L1749" si="1850">L10</f>
        <v>34.100422452824148</v>
      </c>
      <c r="N1749" s="1"/>
    </row>
    <row r="1750" spans="2:14" x14ac:dyDescent="0.35">
      <c r="B1750" t="str">
        <f t="shared" si="1806"/>
        <v>SPS1</v>
      </c>
      <c r="C1750" t="str">
        <f t="shared" si="1807"/>
        <v>CH</v>
      </c>
      <c r="D1750" t="s">
        <v>1777</v>
      </c>
      <c r="E1750" t="str">
        <f t="shared" si="1842"/>
        <v>PJ/yr.</v>
      </c>
      <c r="F1750" s="1">
        <f t="shared" si="1842"/>
        <v>3.798085649147819</v>
      </c>
      <c r="G1750" s="1">
        <f t="shared" si="1842"/>
        <v>12.115548025655132</v>
      </c>
      <c r="H1750" s="1">
        <f t="shared" si="1842"/>
        <v>12.540331484817028</v>
      </c>
      <c r="I1750" s="1">
        <f t="shared" si="1842"/>
        <v>12.540425793035288</v>
      </c>
      <c r="J1750" s="1">
        <f t="shared" si="1842"/>
        <v>12.540427013672588</v>
      </c>
      <c r="K1750" s="1">
        <f t="shared" si="1842"/>
        <v>12.541395046064032</v>
      </c>
      <c r="L1750" s="1">
        <f t="shared" ref="L1750" si="1851">L11</f>
        <v>12.541395542708488</v>
      </c>
      <c r="N1750" s="1"/>
    </row>
    <row r="1751" spans="2:14" x14ac:dyDescent="0.35">
      <c r="B1751" t="str">
        <f t="shared" si="1806"/>
        <v>SPS1</v>
      </c>
      <c r="C1751" t="str">
        <f t="shared" si="1807"/>
        <v>CH</v>
      </c>
      <c r="D1751" t="s">
        <v>1778</v>
      </c>
      <c r="E1751" t="str">
        <f t="shared" si="1842"/>
        <v>PJ/yr.</v>
      </c>
      <c r="F1751" s="1">
        <f t="shared" si="1842"/>
        <v>149.43048165857232</v>
      </c>
      <c r="G1751" s="1">
        <f t="shared" si="1842"/>
        <v>125.60470577767911</v>
      </c>
      <c r="H1751" s="1">
        <f t="shared" si="1842"/>
        <v>137.62371386910246</v>
      </c>
      <c r="I1751" s="1">
        <f t="shared" si="1842"/>
        <v>150.6245500727326</v>
      </c>
      <c r="J1751" s="1">
        <f t="shared" si="1842"/>
        <v>150.09591209457983</v>
      </c>
      <c r="K1751" s="1">
        <f t="shared" si="1842"/>
        <v>150.11978576692744</v>
      </c>
      <c r="L1751" s="1">
        <f t="shared" ref="L1751" si="1852">L12</f>
        <v>150.16835769626354</v>
      </c>
      <c r="N1751" s="1"/>
    </row>
    <row r="1752" spans="2:14" x14ac:dyDescent="0.35">
      <c r="B1752" t="str">
        <f t="shared" si="1806"/>
        <v>SPS1</v>
      </c>
      <c r="C1752" t="str">
        <f t="shared" si="1807"/>
        <v>CH</v>
      </c>
      <c r="D1752" t="s">
        <v>1779</v>
      </c>
      <c r="E1752" t="str">
        <f t="shared" ref="E1752:K1758" si="1853">E13</f>
        <v>PJ/yr.</v>
      </c>
      <c r="F1752" s="1">
        <f t="shared" si="1853"/>
        <v>66.745679999995161</v>
      </c>
      <c r="G1752" s="1">
        <f t="shared" si="1853"/>
        <v>49.798799902568817</v>
      </c>
      <c r="H1752" s="1">
        <f t="shared" si="1853"/>
        <v>69.098091987387846</v>
      </c>
      <c r="I1752" s="1">
        <f t="shared" si="1853"/>
        <v>70.384657838973283</v>
      </c>
      <c r="J1752" s="1">
        <f t="shared" si="1853"/>
        <v>71.044264689717764</v>
      </c>
      <c r="K1752" s="1">
        <f t="shared" si="1853"/>
        <v>72.128987484440245</v>
      </c>
      <c r="L1752" s="1">
        <f t="shared" ref="L1752" si="1854">L13</f>
        <v>74.298727753074118</v>
      </c>
      <c r="N1752" s="1"/>
    </row>
    <row r="1753" spans="2:14" x14ac:dyDescent="0.35">
      <c r="B1753" t="str">
        <f t="shared" si="1806"/>
        <v>SPS1</v>
      </c>
      <c r="C1753" t="str">
        <f t="shared" si="1807"/>
        <v>CH</v>
      </c>
      <c r="D1753" t="s">
        <v>1780</v>
      </c>
      <c r="E1753" t="str">
        <f t="shared" si="1853"/>
        <v>PJ/yr.</v>
      </c>
      <c r="F1753" s="1">
        <f t="shared" si="1853"/>
        <v>66.632400218261907</v>
      </c>
      <c r="G1753" s="1">
        <f t="shared" si="1853"/>
        <v>55.76400049992705</v>
      </c>
      <c r="H1753" s="1">
        <f t="shared" si="1853"/>
        <v>65.549520725005422</v>
      </c>
      <c r="I1753" s="1">
        <f t="shared" si="1853"/>
        <v>64.46572592756182</v>
      </c>
      <c r="J1753" s="1">
        <f t="shared" si="1853"/>
        <v>63.378495368763765</v>
      </c>
      <c r="K1753" s="1">
        <f t="shared" si="1853"/>
        <v>62.293772492353952</v>
      </c>
      <c r="L1753" s="1">
        <f t="shared" ref="L1753" si="1855">L14</f>
        <v>60.124031879381107</v>
      </c>
      <c r="N1753" s="1"/>
    </row>
    <row r="1754" spans="2:14" x14ac:dyDescent="0.35">
      <c r="B1754" t="str">
        <f t="shared" si="1806"/>
        <v>SPS1</v>
      </c>
      <c r="C1754" t="str">
        <f t="shared" si="1807"/>
        <v>CH</v>
      </c>
      <c r="D1754" t="s">
        <v>1781</v>
      </c>
      <c r="E1754" t="str">
        <f t="shared" si="1853"/>
        <v>PJ/yr.</v>
      </c>
      <c r="F1754" s="1">
        <f t="shared" si="1853"/>
        <v>16.052401440315233</v>
      </c>
      <c r="G1754" s="1">
        <f t="shared" si="1853"/>
        <v>20.041905375183251</v>
      </c>
      <c r="H1754" s="1">
        <f t="shared" si="1853"/>
        <v>2.9761011567091971</v>
      </c>
      <c r="I1754" s="1">
        <f t="shared" si="1853"/>
        <v>15.77416630619749</v>
      </c>
      <c r="J1754" s="1">
        <f t="shared" si="1853"/>
        <v>15.673152036098301</v>
      </c>
      <c r="K1754" s="1">
        <f t="shared" si="1853"/>
        <v>15.697025790133242</v>
      </c>
      <c r="L1754" s="1">
        <f t="shared" ref="L1754" si="1856">L15</f>
        <v>15.745598063808321</v>
      </c>
      <c r="N1754" s="1"/>
    </row>
    <row r="1755" spans="2:14" x14ac:dyDescent="0.35">
      <c r="B1755" t="str">
        <f t="shared" si="1806"/>
        <v>SPS1</v>
      </c>
      <c r="C1755" t="str">
        <f t="shared" si="1807"/>
        <v>CH</v>
      </c>
      <c r="D1755" t="s">
        <v>1782</v>
      </c>
      <c r="E1755" t="str">
        <f t="shared" si="1853"/>
        <v>PJ/yr.</v>
      </c>
      <c r="F1755" s="1">
        <f t="shared" si="1853"/>
        <v>12.556465000061728</v>
      </c>
      <c r="G1755" s="1">
        <f t="shared" si="1853"/>
        <v>16.522192758234073</v>
      </c>
      <c r="H1755" s="1">
        <f t="shared" si="1853"/>
        <v>30.34331457243988</v>
      </c>
      <c r="I1755" s="1">
        <f t="shared" si="1853"/>
        <v>40.766964163093263</v>
      </c>
      <c r="J1755" s="1">
        <f t="shared" si="1853"/>
        <v>34.882924874053963</v>
      </c>
      <c r="K1755" s="1">
        <f t="shared" si="1853"/>
        <v>36.744751341664646</v>
      </c>
      <c r="L1755" s="1">
        <f t="shared" ref="L1755" si="1857">L16</f>
        <v>40.532113898265692</v>
      </c>
      <c r="N1755" s="1"/>
    </row>
    <row r="1756" spans="2:14" x14ac:dyDescent="0.35">
      <c r="B1756" t="str">
        <f t="shared" si="1806"/>
        <v>SPS1</v>
      </c>
      <c r="C1756" t="str">
        <f t="shared" si="1807"/>
        <v>CH</v>
      </c>
      <c r="D1756" t="s">
        <v>1783</v>
      </c>
      <c r="E1756" t="str">
        <f t="shared" si="1853"/>
        <v>PJ/yr.</v>
      </c>
      <c r="F1756" s="1">
        <f t="shared" si="1853"/>
        <v>0.52400642375679729</v>
      </c>
      <c r="G1756" s="1">
        <f t="shared" si="1853"/>
        <v>0.54529296852200548</v>
      </c>
      <c r="H1756" s="1">
        <f t="shared" si="1853"/>
        <v>0.50316556827708514</v>
      </c>
      <c r="I1756" s="1">
        <f t="shared" si="1853"/>
        <v>2.0502669905397286</v>
      </c>
      <c r="J1756" s="1">
        <f t="shared" si="1853"/>
        <v>0.8754355541947223</v>
      </c>
      <c r="K1756" s="1">
        <f t="shared" si="1853"/>
        <v>0.87543599997744836</v>
      </c>
      <c r="L1756" s="1">
        <f t="shared" ref="L1756" si="1858">L17</f>
        <v>0.875434405817892</v>
      </c>
      <c r="N1756" s="1"/>
    </row>
    <row r="1757" spans="2:14" x14ac:dyDescent="0.35">
      <c r="B1757" t="str">
        <f t="shared" si="1806"/>
        <v>SPS1</v>
      </c>
      <c r="C1757" t="str">
        <f t="shared" si="1807"/>
        <v>CH</v>
      </c>
      <c r="D1757" t="s">
        <v>1784</v>
      </c>
      <c r="E1757" t="str">
        <f t="shared" si="1853"/>
        <v>PJ/yr.</v>
      </c>
      <c r="F1757" s="1">
        <f t="shared" si="1853"/>
        <v>18.873044481613956</v>
      </c>
      <c r="G1757" s="1">
        <f t="shared" si="1853"/>
        <v>21.777499389657525</v>
      </c>
      <c r="H1757" s="1">
        <f t="shared" si="1853"/>
        <v>30.279618665040868</v>
      </c>
      <c r="I1757" s="1">
        <f t="shared" si="1853"/>
        <v>45.898068735404799</v>
      </c>
      <c r="J1757" s="1">
        <f t="shared" si="1853"/>
        <v>56.649754775246201</v>
      </c>
      <c r="K1757" s="1">
        <f t="shared" si="1853"/>
        <v>64.973651642325024</v>
      </c>
      <c r="L1757" s="1">
        <f t="shared" ref="L1757" si="1859">L18</f>
        <v>82.186332728037357</v>
      </c>
      <c r="N1757" s="1"/>
    </row>
    <row r="1758" spans="2:14" x14ac:dyDescent="0.35">
      <c r="B1758" t="str">
        <f t="shared" si="1806"/>
        <v>SPS1</v>
      </c>
      <c r="C1758" t="str">
        <f t="shared" si="1807"/>
        <v>CH</v>
      </c>
      <c r="D1758" t="s">
        <v>1785</v>
      </c>
      <c r="E1758" t="str">
        <f t="shared" si="1853"/>
        <v>PJ/yr.</v>
      </c>
      <c r="F1758" s="1">
        <f t="shared" si="1853"/>
        <v>0</v>
      </c>
      <c r="G1758" s="1">
        <f t="shared" si="1853"/>
        <v>0</v>
      </c>
      <c r="H1758" s="1">
        <f t="shared" si="1853"/>
        <v>0</v>
      </c>
      <c r="I1758" s="1">
        <f t="shared" si="1853"/>
        <v>0</v>
      </c>
      <c r="J1758" s="1">
        <f t="shared" si="1853"/>
        <v>0</v>
      </c>
      <c r="K1758" s="1">
        <f t="shared" si="1853"/>
        <v>8.7044595539577418E-4</v>
      </c>
      <c r="L1758" s="1">
        <f t="shared" ref="L1758" si="1860">L19</f>
        <v>4.4460219529112565E-3</v>
      </c>
      <c r="N1758" s="1"/>
    </row>
    <row r="1759" spans="2:14" x14ac:dyDescent="0.35">
      <c r="B1759" s="9" t="str">
        <f t="shared" si="1806"/>
        <v>SPS1</v>
      </c>
      <c r="C1759" s="2" t="str">
        <f t="shared" si="1807"/>
        <v>CH</v>
      </c>
      <c r="D1759" s="2" t="s">
        <v>1788</v>
      </c>
      <c r="E1759" s="2" t="s">
        <v>1857</v>
      </c>
      <c r="F1759" s="3">
        <f t="shared" ref="F1759:K1759" si="1861">SUM(F1760,F1762,F1766,F1770,F1786,F1793,F1801,F1803,F1811,F1815,F1809)</f>
        <v>22.36930300458253</v>
      </c>
      <c r="G1759" s="3">
        <f t="shared" si="1861"/>
        <v>24.365395281033383</v>
      </c>
      <c r="H1759" s="3">
        <f t="shared" si="1861"/>
        <v>29.725855118308392</v>
      </c>
      <c r="I1759" s="3">
        <f t="shared" si="1861"/>
        <v>31.988663550524585</v>
      </c>
      <c r="J1759" s="3">
        <f t="shared" si="1861"/>
        <v>30.035483808869156</v>
      </c>
      <c r="K1759" s="3">
        <f t="shared" si="1861"/>
        <v>30.639547579429053</v>
      </c>
      <c r="L1759" s="3">
        <f t="shared" ref="L1759" si="1862">SUM(L1760,L1762,L1766,L1770,L1786,L1793,L1801,L1803,L1811,L1815,L1809)</f>
        <v>33.159930749168957</v>
      </c>
      <c r="N1759" s="1"/>
    </row>
    <row r="1760" spans="2:14" x14ac:dyDescent="0.35">
      <c r="B1760" s="5" t="str">
        <f t="shared" si="1806"/>
        <v>SPS1</v>
      </c>
      <c r="C1760" s="5" t="str">
        <f t="shared" si="1807"/>
        <v>CH</v>
      </c>
      <c r="D1760" t="s">
        <v>1790</v>
      </c>
      <c r="E1760" t="str">
        <f>E1759</f>
        <v>GWe/yr.</v>
      </c>
      <c r="F1760" s="1">
        <f>+F1761</f>
        <v>3.0805587016157077</v>
      </c>
      <c r="G1760" s="1">
        <f t="shared" ref="G1760:L1760" si="1863">+G1761</f>
        <v>3.080558631060204</v>
      </c>
      <c r="H1760" s="1">
        <f t="shared" si="1863"/>
        <v>2.840241771507114</v>
      </c>
      <c r="I1760" s="1">
        <f t="shared" si="1863"/>
        <v>2.6090416682333681</v>
      </c>
      <c r="J1760" s="1">
        <f t="shared" si="1863"/>
        <v>2.3635370829806872</v>
      </c>
      <c r="K1760" s="1">
        <f t="shared" si="1863"/>
        <v>2.3635370957189608</v>
      </c>
      <c r="L1760" s="1">
        <f t="shared" si="1863"/>
        <v>3.5751165393749051</v>
      </c>
      <c r="N1760" s="1"/>
    </row>
    <row r="1761" spans="2:14" x14ac:dyDescent="0.35">
      <c r="B1761" s="5" t="str">
        <f t="shared" si="1806"/>
        <v>SPS1</v>
      </c>
      <c r="C1761" s="5" t="str">
        <f t="shared" si="1807"/>
        <v>CH</v>
      </c>
      <c r="D1761" t="s">
        <v>1791</v>
      </c>
      <c r="E1761" t="str">
        <f t="shared" ref="E1761:E1822" si="1864">E1760</f>
        <v>GWe/yr.</v>
      </c>
      <c r="F1761" s="1">
        <f>'[1]Electricity and CHPs_CAP'!B$14</f>
        <v>3.0805587016157077</v>
      </c>
      <c r="G1761" s="1">
        <f>'[1]Electricity and CHPs_CAP'!C$14</f>
        <v>3.080558631060204</v>
      </c>
      <c r="H1761" s="1">
        <f>'[1]Electricity and CHPs_CAP'!D$14</f>
        <v>2.840241771507114</v>
      </c>
      <c r="I1761" s="1">
        <f>'[1]Electricity and CHPs_CAP'!E$14</f>
        <v>2.6090416682333681</v>
      </c>
      <c r="J1761" s="1">
        <f>'[2]Electricity and CHPs_CAP'!F$14</f>
        <v>2.3635370829806872</v>
      </c>
      <c r="K1761" s="1">
        <f>'[2]Electricity and CHPs_CAP'!G$14</f>
        <v>2.3635370957189608</v>
      </c>
      <c r="L1761" s="1">
        <f>'[2]Electricity and CHPs_CAP'!H$14</f>
        <v>3.5751165393749051</v>
      </c>
      <c r="N1761" s="1"/>
    </row>
    <row r="1762" spans="2:14" x14ac:dyDescent="0.35">
      <c r="B1762" s="5" t="str">
        <f t="shared" si="1806"/>
        <v>SPS1</v>
      </c>
      <c r="C1762" s="5" t="str">
        <f t="shared" si="1807"/>
        <v>CH</v>
      </c>
      <c r="D1762" t="s">
        <v>1792</v>
      </c>
      <c r="E1762" t="str">
        <f t="shared" si="1864"/>
        <v>GWe/yr.</v>
      </c>
      <c r="F1762" s="1">
        <f>SUM(F1763:F1765)</f>
        <v>15.403610001059999</v>
      </c>
      <c r="G1762" s="1">
        <f t="shared" ref="G1762:K1762" si="1865">SUM(G1763:G1765)</f>
        <v>16.118447877867197</v>
      </c>
      <c r="H1762" s="1">
        <f t="shared" si="1865"/>
        <v>16.562183720253408</v>
      </c>
      <c r="I1762" s="1">
        <f t="shared" si="1865"/>
        <v>16.637546634106311</v>
      </c>
      <c r="J1762" s="1">
        <f t="shared" si="1865"/>
        <v>16.637939129594717</v>
      </c>
      <c r="K1762" s="1">
        <f t="shared" si="1865"/>
        <v>16.637939451751315</v>
      </c>
      <c r="L1762" s="1">
        <f t="shared" ref="L1762" si="1866">SUM(L1763:L1765)</f>
        <v>16.867066486754961</v>
      </c>
      <c r="N1762" s="1"/>
    </row>
    <row r="1763" spans="2:14" x14ac:dyDescent="0.35">
      <c r="B1763" s="5" t="str">
        <f t="shared" si="1806"/>
        <v>SPS1</v>
      </c>
      <c r="C1763" s="5" t="str">
        <f t="shared" si="1807"/>
        <v>CH</v>
      </c>
      <c r="D1763" t="s">
        <v>1793</v>
      </c>
      <c r="E1763" t="str">
        <f t="shared" si="1864"/>
        <v>GWe/yr.</v>
      </c>
      <c r="F1763" s="1">
        <f>'[1]Electricity and CHPs_CAP'!B$15</f>
        <v>7.3394300010600002</v>
      </c>
      <c r="G1763" s="1">
        <f>'[1]Electricity and CHPs_CAP'!C$15</f>
        <v>7.340129520814533</v>
      </c>
      <c r="H1763" s="1">
        <f>'[1]Electricity and CHPs_CAP'!D$15</f>
        <v>7.3433065433839069</v>
      </c>
      <c r="I1763" s="1">
        <f>'[1]Electricity and CHPs_CAP'!E$15</f>
        <v>7.4148363376080182</v>
      </c>
      <c r="J1763" s="1">
        <f>'[2]Electricity and CHPs_CAP'!F$15</f>
        <v>7.4149076322896859</v>
      </c>
      <c r="K1763" s="1">
        <f>'[2]Electricity and CHPs_CAP'!G$15</f>
        <v>7.4149079285456683</v>
      </c>
      <c r="L1763" s="1">
        <f>'[2]Electricity and CHPs_CAP'!H$15</f>
        <v>7.6440348636985851</v>
      </c>
      <c r="N1763" s="1"/>
    </row>
    <row r="1764" spans="2:14" x14ac:dyDescent="0.35">
      <c r="B1764" s="5" t="str">
        <f t="shared" si="1806"/>
        <v>SPS1</v>
      </c>
      <c r="C1764" s="5" t="str">
        <f t="shared" si="1807"/>
        <v>CH</v>
      </c>
      <c r="D1764" t="s">
        <v>1794</v>
      </c>
      <c r="E1764" t="str">
        <f t="shared" si="1864"/>
        <v>GWe/yr.</v>
      </c>
      <c r="F1764" s="1">
        <f>'[1]Electricity and CHPs_CAP'!B$16</f>
        <v>4.7247299999999992</v>
      </c>
      <c r="G1764" s="1">
        <f>'[1]Electricity and CHPs_CAP'!C$16</f>
        <v>4.8072225801712865</v>
      </c>
      <c r="H1764" s="1">
        <f>'[1]Electricity and CHPs_CAP'!D$16</f>
        <v>4.8593603461091757</v>
      </c>
      <c r="I1764" s="1">
        <f>'[1]Electricity and CHPs_CAP'!E$16</f>
        <v>4.8631934657379645</v>
      </c>
      <c r="J1764" s="1">
        <f>'[2]Electricity and CHPs_CAP'!F$16</f>
        <v>4.8635497666127003</v>
      </c>
      <c r="K1764" s="1">
        <f>'[2]Electricity and CHPs_CAP'!G$16</f>
        <v>4.8635497848263851</v>
      </c>
      <c r="L1764" s="1">
        <f>'[2]Electricity and CHPs_CAP'!H$16</f>
        <v>4.863549859195559</v>
      </c>
      <c r="N1764" s="1"/>
    </row>
    <row r="1765" spans="2:14" x14ac:dyDescent="0.35">
      <c r="B1765" s="5" t="str">
        <f t="shared" si="1806"/>
        <v>SPS1</v>
      </c>
      <c r="C1765" s="5" t="str">
        <f t="shared" si="1807"/>
        <v>CH</v>
      </c>
      <c r="D1765" t="s">
        <v>1795</v>
      </c>
      <c r="E1765" t="str">
        <f t="shared" si="1864"/>
        <v>GWe/yr.</v>
      </c>
      <c r="F1765" s="1">
        <f>'[1]Electricity and CHPs_CAP'!B$17</f>
        <v>3.3394499999999998</v>
      </c>
      <c r="G1765" s="1">
        <f>'[1]Electricity and CHPs_CAP'!C$17</f>
        <v>3.9710957768813762</v>
      </c>
      <c r="H1765" s="1">
        <f>'[1]Electricity and CHPs_CAP'!D$17</f>
        <v>4.3595168307603265</v>
      </c>
      <c r="I1765" s="1">
        <f>'[1]Electricity and CHPs_CAP'!E$17</f>
        <v>4.3595168307603265</v>
      </c>
      <c r="J1765" s="1">
        <f>'[2]Electricity and CHPs_CAP'!F$17</f>
        <v>4.3594817306923295</v>
      </c>
      <c r="K1765" s="1">
        <f>'[2]Electricity and CHPs_CAP'!G$17</f>
        <v>4.3594817383792606</v>
      </c>
      <c r="L1765" s="1">
        <f>'[2]Electricity and CHPs_CAP'!H$17</f>
        <v>4.3594817638608179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4"/>
        <v>GWe/yr.</v>
      </c>
      <c r="F1766" s="1">
        <f>SUM(F1767:F1769)</f>
        <v>2.7423595326744897E-2</v>
      </c>
      <c r="G1766" s="1">
        <f t="shared" ref="G1766:K1766" si="1867">SUM(G1767:G1769)</f>
        <v>2.5085412806716147E-2</v>
      </c>
      <c r="H1766" s="1">
        <f t="shared" si="1867"/>
        <v>2.0447958979994199E-2</v>
      </c>
      <c r="I1766" s="1">
        <f t="shared" si="1867"/>
        <v>3.9473137204027897E-2</v>
      </c>
      <c r="J1766" s="1">
        <f t="shared" si="1867"/>
        <v>3.1788181359673678E-2</v>
      </c>
      <c r="K1766" s="1">
        <f t="shared" si="1867"/>
        <v>5.8390962111889141E-2</v>
      </c>
      <c r="L1766" s="1">
        <f t="shared" ref="L1766" si="1868">SUM(L1767:L1769)</f>
        <v>5.9209120648858818E-2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4"/>
        <v>GWe/yr.</v>
      </c>
      <c r="F1767" s="1">
        <f>'[1]Electricity and CHPs_CAP'!B$18</f>
        <v>1.7740408038023209E-2</v>
      </c>
      <c r="G1767" s="1">
        <f>'[1]Electricity and CHPs_CAP'!C$18</f>
        <v>1.7709049015198347E-2</v>
      </c>
      <c r="H1767" s="1">
        <f>'[1]Electricity and CHPs_CAP'!D$18</f>
        <v>1.069946053958622E-2</v>
      </c>
      <c r="I1767" s="1">
        <f>'[1]Electricity and CHPs_CAP'!E$18</f>
        <v>1.5061168316146473E-2</v>
      </c>
      <c r="J1767" s="1">
        <f>'[2]Electricity and CHPs_CAP'!F$18</f>
        <v>9.038988099368055E-3</v>
      </c>
      <c r="K1767" s="1">
        <f>'[2]Electricity and CHPs_CAP'!G$18</f>
        <v>1.6304736507707591E-2</v>
      </c>
      <c r="L1767" s="1">
        <f>'[2]Electricity and CHPs_CAP'!H$18</f>
        <v>9.2997893850978366E-3</v>
      </c>
      <c r="N1767" s="1"/>
    </row>
    <row r="1768" spans="2:14" x14ac:dyDescent="0.35">
      <c r="B1768" s="5" t="str">
        <f t="shared" ref="B1768:C1769" si="1869">B1767</f>
        <v>SPS1</v>
      </c>
      <c r="C1768" s="5" t="str">
        <f t="shared" si="1869"/>
        <v>CH</v>
      </c>
      <c r="D1768" t="s">
        <v>1798</v>
      </c>
      <c r="E1768" t="str">
        <f t="shared" si="1864"/>
        <v>GWe/yr.</v>
      </c>
      <c r="F1768" s="1">
        <f>'[1]Electricity and CHPs_CAP'!B$28</f>
        <v>1.3779547072016105E-3</v>
      </c>
      <c r="G1768" s="1">
        <f>'[1]Electricity and CHPs_CAP'!C$28</f>
        <v>3.0197636330717668E-4</v>
      </c>
      <c r="H1768" s="1">
        <f>'[1]Electricity and CHPs_CAP'!D$28</f>
        <v>2.832903513590463E-4</v>
      </c>
      <c r="I1768" s="1">
        <f>'[1]Electricity and CHPs_CAP'!E$28</f>
        <v>2.0645003532958339E-4</v>
      </c>
      <c r="J1768" s="1">
        <f>'[2]Electricity and CHPs_CAP'!F$28</f>
        <v>9.5899701363105598E-5</v>
      </c>
      <c r="K1768" s="1">
        <f>'[2]Electricity and CHPs_CAP'!G$28</f>
        <v>3.2497297351842677E-5</v>
      </c>
      <c r="L1768" s="1">
        <f>'[2]Electricity and CHPs_CAP'!H$28</f>
        <v>3.0920983708346065E-5</v>
      </c>
      <c r="N1768" s="1"/>
    </row>
    <row r="1769" spans="2:14" x14ac:dyDescent="0.35">
      <c r="B1769" s="5" t="str">
        <f t="shared" si="1869"/>
        <v>SPS1</v>
      </c>
      <c r="C1769" s="5" t="str">
        <f t="shared" si="1869"/>
        <v>CH</v>
      </c>
      <c r="D1769" t="s">
        <v>1799</v>
      </c>
      <c r="E1769" t="str">
        <f t="shared" si="1864"/>
        <v>GWe/yr.</v>
      </c>
      <c r="F1769" s="1">
        <f>'[1]Electricity and CHPs_CAP'!B$41</f>
        <v>8.3052325815200796E-3</v>
      </c>
      <c r="G1769" s="1">
        <f>'[1]Electricity and CHPs_CAP'!C$41</f>
        <v>7.0743874282106203E-3</v>
      </c>
      <c r="H1769" s="1">
        <f>'[1]Electricity and CHPs_CAP'!D$41</f>
        <v>9.4652080890489324E-3</v>
      </c>
      <c r="I1769" s="1">
        <f>'[1]Electricity and CHPs_CAP'!E$41</f>
        <v>2.4205518852551837E-2</v>
      </c>
      <c r="J1769" s="1">
        <f>'[2]Electricity and CHPs_CAP'!F$41</f>
        <v>2.2653293558942522E-2</v>
      </c>
      <c r="K1769" s="1">
        <f>'[2]Electricity and CHPs_CAP'!G$41</f>
        <v>4.2053728306829706E-2</v>
      </c>
      <c r="L1769" s="1">
        <f>'[2]Electricity and CHPs_CAP'!H$41</f>
        <v>4.9878410280052639E-2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4"/>
        <v>GWe/yr.</v>
      </c>
      <c r="F1770" s="1">
        <f>SUM(F1771:F1785)</f>
        <v>0.2517400528118921</v>
      </c>
      <c r="G1770" s="1">
        <f t="shared" ref="G1770:K1770" si="1870">SUM(G1771:G1785)</f>
        <v>0.17248344984312175</v>
      </c>
      <c r="H1770" s="1">
        <f t="shared" si="1870"/>
        <v>0.13469206788877677</v>
      </c>
      <c r="I1770" s="1">
        <f t="shared" si="1870"/>
        <v>0.14328514749573346</v>
      </c>
      <c r="J1770" s="1">
        <f t="shared" si="1870"/>
        <v>0.47626756958296468</v>
      </c>
      <c r="K1770" s="1">
        <f t="shared" si="1870"/>
        <v>0.47810378635111461</v>
      </c>
      <c r="L1770" s="1">
        <f t="shared" ref="L1770" si="1871">SUM(L1771:L1785)</f>
        <v>0.43142354737446004</v>
      </c>
      <c r="N1770" s="1"/>
    </row>
    <row r="1771" spans="2:14" x14ac:dyDescent="0.35">
      <c r="B1771" s="5" t="str">
        <f t="shared" ref="B1771:C1784" si="1872">B1770</f>
        <v>SPS1</v>
      </c>
      <c r="C1771" s="5" t="str">
        <f t="shared" si="1872"/>
        <v>CH</v>
      </c>
      <c r="D1771" t="s">
        <v>1801</v>
      </c>
      <c r="E1771" t="str">
        <f t="shared" si="1864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7.0594496631054405E-5</v>
      </c>
      <c r="L1771" s="1">
        <f>'[2]Electricity and CHPs_CAP'!H$21</f>
        <v>0.24954633883735869</v>
      </c>
      <c r="N1771" s="1"/>
    </row>
    <row r="1772" spans="2:14" x14ac:dyDescent="0.35">
      <c r="B1772" s="5" t="str">
        <f t="shared" si="1872"/>
        <v>SPS1</v>
      </c>
      <c r="C1772" s="5" t="str">
        <f t="shared" si="1872"/>
        <v>CH</v>
      </c>
      <c r="D1772" t="s">
        <v>1802</v>
      </c>
      <c r="E1772" t="str">
        <f t="shared" si="1864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1.09215462800992E-4</v>
      </c>
      <c r="K1772" s="1">
        <f>'[2]Electricity and CHPs_CAP'!G$22</f>
        <v>4.5349862181035883E-4</v>
      </c>
      <c r="L1772" s="1">
        <f>'[2]Electricity and CHPs_CAP'!H$22</f>
        <v>4.5357794575154179E-4</v>
      </c>
      <c r="N1772" s="1"/>
    </row>
    <row r="1773" spans="2:14" x14ac:dyDescent="0.35">
      <c r="B1773" s="5" t="str">
        <f t="shared" si="1872"/>
        <v>SPS1</v>
      </c>
      <c r="C1773" s="5" t="str">
        <f t="shared" si="1872"/>
        <v>CH</v>
      </c>
      <c r="D1773" t="s">
        <v>1803</v>
      </c>
      <c r="E1773" t="str">
        <f t="shared" si="1864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72"/>
        <v>SPS1</v>
      </c>
      <c r="C1774" s="5" t="str">
        <f t="shared" si="1872"/>
        <v>CH</v>
      </c>
      <c r="D1774" t="s">
        <v>1804</v>
      </c>
      <c r="E1774" t="str">
        <f t="shared" si="1864"/>
        <v>GWe/yr.</v>
      </c>
      <c r="F1774" s="1">
        <f>IF('[1]Electricity and CHPs_CAP'!B$24&lt;0,0,'[1]Electricity and CHPs_CAP'!B$24)</f>
        <v>4.7423957056209498E-2</v>
      </c>
      <c r="G1774" s="1">
        <f>IF('[1]Electricity and CHPs_CAP'!C$24&lt;0,0,'[1]Electricity and CHPs_CAP'!C$24)</f>
        <v>5.8279444817566084E-5</v>
      </c>
      <c r="H1774" s="1">
        <f>IF('[1]Electricity and CHPs_CAP'!D$24&lt;0,0,'[1]Electricity and CHPs_CAP'!D$24)</f>
        <v>2.7698857114982767E-3</v>
      </c>
      <c r="I1774" s="1">
        <f>IF('[1]Electricity and CHPs_CAP'!E$24&lt;0,0,'[1]Electricity and CHPs_CAP'!E$24)</f>
        <v>2.7155260560995029E-3</v>
      </c>
      <c r="J1774" s="1">
        <f>IF('[2]Electricity and CHPs_CAP'!F$24&lt;0,0,'[2]Electricity and CHPs_CAP'!F$24)</f>
        <v>1.7069737755009322E-4</v>
      </c>
      <c r="K1774" s="1">
        <f>IF('[2]Electricity and CHPs_CAP'!G$24&lt;0,0,'[2]Electricity and CHPs_CAP'!G$24)</f>
        <v>1.3427365079611119E-4</v>
      </c>
      <c r="L1774" s="1">
        <f>IF('[2]Electricity and CHPs_CAP'!H$24&lt;0,0,'[2]Electricity and CHPs_CAP'!H$24)</f>
        <v>9.0617876299045564E-5</v>
      </c>
      <c r="N1774" s="1"/>
    </row>
    <row r="1775" spans="2:14" x14ac:dyDescent="0.35">
      <c r="B1775" s="5" t="str">
        <f t="shared" si="1872"/>
        <v>SPS1</v>
      </c>
      <c r="C1775" s="5" t="str">
        <f t="shared" si="1872"/>
        <v>CH</v>
      </c>
      <c r="D1775" t="s">
        <v>1805</v>
      </c>
      <c r="E1775" t="str">
        <f t="shared" si="1864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2.0420330915139599E-4</v>
      </c>
      <c r="L1775" s="1">
        <f>'[2]Electricity and CHPs_CAP'!H$29</f>
        <v>2.0063763482430233E-2</v>
      </c>
      <c r="N1775" s="1"/>
    </row>
    <row r="1776" spans="2:14" x14ac:dyDescent="0.35">
      <c r="B1776" s="5" t="str">
        <f t="shared" si="1872"/>
        <v>SPS1</v>
      </c>
      <c r="C1776" s="5" t="str">
        <f t="shared" si="1872"/>
        <v>CH</v>
      </c>
      <c r="D1776" t="s">
        <v>1806</v>
      </c>
      <c r="E1776" t="str">
        <f t="shared" si="1864"/>
        <v>GWe/yr.</v>
      </c>
      <c r="F1776" s="1">
        <f>'[1]Electricity and CHPs_CAP'!B$39</f>
        <v>5.3315818187333205E-2</v>
      </c>
      <c r="G1776" s="1">
        <f>'[1]Electricity and CHPs_CAP'!C$39</f>
        <v>3.9432518674767505E-2</v>
      </c>
      <c r="H1776" s="1">
        <f>'[1]Electricity and CHPs_CAP'!D$39</f>
        <v>4.5908271928096739E-2</v>
      </c>
      <c r="I1776" s="1">
        <f>'[1]Electricity and CHPs_CAP'!E$39</f>
        <v>5.5468315607730634E-2</v>
      </c>
      <c r="J1776" s="1">
        <f>'[2]Electricity and CHPs_CAP'!F$39</f>
        <v>4.8488368048060206E-2</v>
      </c>
      <c r="K1776" s="1">
        <f>'[2]Electricity and CHPs_CAP'!G$39</f>
        <v>2.2927660245354999E-2</v>
      </c>
      <c r="L1776" s="1">
        <f>'[2]Electricity and CHPs_CAP'!H$39</f>
        <v>5.9079010601504204E-3</v>
      </c>
      <c r="N1776" s="1"/>
    </row>
    <row r="1777" spans="2:14" x14ac:dyDescent="0.35">
      <c r="B1777" s="5" t="str">
        <f t="shared" si="1872"/>
        <v>SPS1</v>
      </c>
      <c r="C1777" s="5" t="str">
        <f t="shared" si="1872"/>
        <v>CH</v>
      </c>
      <c r="D1777" t="s">
        <v>1807</v>
      </c>
      <c r="E1777" t="str">
        <f t="shared" si="1864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0</v>
      </c>
      <c r="N1777" s="1"/>
    </row>
    <row r="1778" spans="2:14" x14ac:dyDescent="0.35">
      <c r="B1778" s="5" t="str">
        <f t="shared" si="1872"/>
        <v>SPS1</v>
      </c>
      <c r="C1778" s="5" t="str">
        <f t="shared" si="1872"/>
        <v>CH</v>
      </c>
      <c r="D1778" t="s">
        <v>1808</v>
      </c>
      <c r="E1778" t="str">
        <f t="shared" si="1864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3.1801650507618999E-5</v>
      </c>
      <c r="J1778" s="1">
        <f>'[2]Electricity and CHPs_CAP'!F$47</f>
        <v>2.7217189717766799E-5</v>
      </c>
      <c r="K1778" s="1">
        <f>'[2]Electricity and CHPs_CAP'!G$47</f>
        <v>2.3429183409679377E-5</v>
      </c>
      <c r="L1778" s="1">
        <f>'[2]Electricity and CHPs_CAP'!H$47</f>
        <v>2.2305630089565088E-5</v>
      </c>
      <c r="N1778" s="1"/>
    </row>
    <row r="1779" spans="2:14" x14ac:dyDescent="0.35">
      <c r="B1779" s="5" t="str">
        <f t="shared" si="1872"/>
        <v>SPS1</v>
      </c>
      <c r="C1779" s="5" t="str">
        <f t="shared" si="1872"/>
        <v>CH</v>
      </c>
      <c r="D1779" t="s">
        <v>1809</v>
      </c>
      <c r="E1779" t="str">
        <f t="shared" si="1864"/>
        <v>GWe/yr.</v>
      </c>
      <c r="F1779" s="1">
        <f>'[1]Electricity and CHPs_CAP'!B$48</f>
        <v>3.9198137348719379E-3</v>
      </c>
      <c r="G1779" s="1">
        <f>'[1]Electricity and CHPs_CAP'!C$48</f>
        <v>1.7907270346318179E-4</v>
      </c>
      <c r="H1779" s="1">
        <f>'[1]Electricity and CHPs_CAP'!D$48</f>
        <v>1.7767906011318155E-4</v>
      </c>
      <c r="I1779" s="1">
        <f>'[1]Electricity and CHPs_CAP'!E$48</f>
        <v>1.6935473814964916E-4</v>
      </c>
      <c r="J1779" s="1">
        <f>'[2]Electricity and CHPs_CAP'!F$48</f>
        <v>4.3465527997780932E-4</v>
      </c>
      <c r="K1779" s="1">
        <f>'[2]Electricity and CHPs_CAP'!G$48</f>
        <v>1.6203591162433417E-4</v>
      </c>
      <c r="L1779" s="1">
        <f>'[2]Electricity and CHPs_CAP'!H$48</f>
        <v>2.94653583992476E-5</v>
      </c>
      <c r="N1779" s="1"/>
    </row>
    <row r="1780" spans="2:14" x14ac:dyDescent="0.35">
      <c r="B1780" s="5" t="str">
        <f t="shared" si="1872"/>
        <v>SPS1</v>
      </c>
      <c r="C1780" s="5" t="str">
        <f t="shared" si="1872"/>
        <v>CH</v>
      </c>
      <c r="D1780" t="s">
        <v>1810</v>
      </c>
      <c r="E1780" t="str">
        <f t="shared" si="1864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7.701321675011561E-7</v>
      </c>
      <c r="J1780" s="1">
        <f>'[2]Electricity and CHPs_CAP'!F$49</f>
        <v>9.5929323313546101E-6</v>
      </c>
      <c r="K1780" s="1">
        <f>'[2]Electricity and CHPs_CAP'!G$49</f>
        <v>1.0126762949075E-5</v>
      </c>
      <c r="L1780" s="1">
        <f>'[2]Electricity and CHPs_CAP'!H$49</f>
        <v>8.9706178242162225E-6</v>
      </c>
      <c r="N1780" s="1"/>
    </row>
    <row r="1781" spans="2:14" x14ac:dyDescent="0.35">
      <c r="B1781" s="5" t="str">
        <f t="shared" si="1872"/>
        <v>SPS1</v>
      </c>
      <c r="C1781" s="5" t="str">
        <f t="shared" si="1872"/>
        <v>CH</v>
      </c>
      <c r="D1781" t="s">
        <v>1811</v>
      </c>
      <c r="E1781" t="str">
        <f t="shared" si="1864"/>
        <v>GWe/yr.</v>
      </c>
      <c r="F1781" s="1">
        <f>'[1]Electricity and CHPs_CAP'!B$51</f>
        <v>8.3678803772576013E-3</v>
      </c>
      <c r="G1781" s="1">
        <f>'[1]Electricity and CHPs_CAP'!C$51</f>
        <v>1.9211841693825372E-4</v>
      </c>
      <c r="H1781" s="1">
        <f>'[1]Electricity and CHPs_CAP'!D$51</f>
        <v>1.9256313759058105E-4</v>
      </c>
      <c r="I1781" s="1">
        <f>'[1]Electricity and CHPs_CAP'!E$51</f>
        <v>7.5641256551824343E-5</v>
      </c>
      <c r="J1781" s="1">
        <f>'[2]Electricity and CHPs_CAP'!F$51</f>
        <v>8.9718915864429497E-2</v>
      </c>
      <c r="K1781" s="1">
        <f>'[2]Electricity and CHPs_CAP'!G$51</f>
        <v>0.13188340128119044</v>
      </c>
      <c r="L1781" s="1">
        <f>'[2]Electricity and CHPs_CAP'!H$51</f>
        <v>7.0422478485306444E-2</v>
      </c>
      <c r="N1781" s="1"/>
    </row>
    <row r="1782" spans="2:14" x14ac:dyDescent="0.35">
      <c r="B1782" s="5" t="str">
        <f t="shared" si="1872"/>
        <v>SPS1</v>
      </c>
      <c r="C1782" s="5" t="str">
        <f t="shared" si="1872"/>
        <v>CH</v>
      </c>
      <c r="D1782" t="s">
        <v>1812</v>
      </c>
      <c r="E1782" t="str">
        <f t="shared" si="1864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2.7153873415405197E-6</v>
      </c>
      <c r="J1782" s="1">
        <f>'[2]Electricity and CHPs_CAP'!F$52</f>
        <v>6.0561801588520704E-5</v>
      </c>
      <c r="K1782" s="1">
        <f>'[2]Electricity and CHPs_CAP'!G$52</f>
        <v>9.0716772562062504E-5</v>
      </c>
      <c r="L1782" s="1">
        <f>'[2]Electricity and CHPs_CAP'!H$52</f>
        <v>6.8974084409460237E-5</v>
      </c>
      <c r="N1782" s="1"/>
    </row>
    <row r="1783" spans="2:14" x14ac:dyDescent="0.35">
      <c r="B1783" s="5" t="str">
        <f t="shared" si="1872"/>
        <v>SPS1</v>
      </c>
      <c r="C1783" s="5" t="str">
        <f t="shared" si="1872"/>
        <v>CH</v>
      </c>
      <c r="D1783" t="s">
        <v>1813</v>
      </c>
      <c r="E1783" t="str">
        <f t="shared" si="1864"/>
        <v>GWe/yr.</v>
      </c>
      <c r="F1783" s="1">
        <f>'[1]Electricity and CHPs_CAP'!B$54</f>
        <v>7.35127E-2</v>
      </c>
      <c r="G1783" s="1">
        <f>'[1]Electricity and CHPs_CAP'!C$54</f>
        <v>8.4744615041142016E-2</v>
      </c>
      <c r="H1783" s="1">
        <f>'[1]Electricity and CHPs_CAP'!D$54</f>
        <v>8.4744519225760401E-2</v>
      </c>
      <c r="I1783" s="1">
        <f>'[1]Electricity and CHPs_CAP'!E$54</f>
        <v>8.4744682181003228E-2</v>
      </c>
      <c r="J1783" s="1">
        <f>'[2]Electricity and CHPs_CAP'!F$54</f>
        <v>8.4744174518203153E-2</v>
      </c>
      <c r="K1783" s="1">
        <f>'[2]Electricity and CHPs_CAP'!G$54</f>
        <v>8.4744174450293738E-2</v>
      </c>
      <c r="L1783" s="1">
        <f>'[2]Electricity and CHPs_CAP'!H$54</f>
        <v>8.4744157714482515E-2</v>
      </c>
      <c r="N1783" s="1"/>
    </row>
    <row r="1784" spans="2:14" x14ac:dyDescent="0.35">
      <c r="B1784" s="5" t="str">
        <f t="shared" si="1872"/>
        <v>SPS1</v>
      </c>
      <c r="C1784" s="5" t="str">
        <f t="shared" si="1872"/>
        <v>CH</v>
      </c>
      <c r="D1784" t="s">
        <v>1814</v>
      </c>
      <c r="E1784" t="str">
        <f t="shared" si="1864"/>
        <v>GWe/yr.</v>
      </c>
      <c r="F1784" s="1">
        <f>'[1]Electricity and CHPs_CAP'!B$55</f>
        <v>6.5199883456219868E-2</v>
      </c>
      <c r="G1784" s="1">
        <f>'[1]Electricity and CHPs_CAP'!C$55</f>
        <v>4.7876845561993231E-2</v>
      </c>
      <c r="H1784" s="1">
        <f>'[1]Electricity and CHPs_CAP'!D$55</f>
        <v>8.9914882571760085E-4</v>
      </c>
      <c r="I1784" s="1">
        <f>'[1]Electricity and CHPs_CAP'!E$55</f>
        <v>7.4967982266395394E-5</v>
      </c>
      <c r="J1784" s="1">
        <f>'[2]Electricity and CHPs_CAP'!F$55</f>
        <v>0.25248273227273454</v>
      </c>
      <c r="K1784" s="1">
        <f>'[2]Electricity and CHPs_CAP'!G$55</f>
        <v>0.23735196538680967</v>
      </c>
      <c r="L1784" s="1">
        <f>'[2]Electricity and CHPs_CAP'!H$55</f>
        <v>3.812149114099106E-5</v>
      </c>
      <c r="N1784" s="1"/>
    </row>
    <row r="1785" spans="2:14" x14ac:dyDescent="0.35">
      <c r="B1785" s="5" t="str">
        <f t="shared" ref="B1785:C1785" si="1873">B1784</f>
        <v>SPS1</v>
      </c>
      <c r="C1785" s="5" t="str">
        <f t="shared" si="1873"/>
        <v>CH</v>
      </c>
      <c r="D1785" t="s">
        <v>1815</v>
      </c>
      <c r="E1785" t="str">
        <f t="shared" si="1864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1.37250391558667E-6</v>
      </c>
      <c r="J1785" s="1">
        <f>'[2]Electricity and CHPs_CAP'!F$58</f>
        <v>2.14388355706916E-5</v>
      </c>
      <c r="K1785" s="1">
        <f>'[2]Electricity and CHPs_CAP'!G$58</f>
        <v>4.7706278531657401E-5</v>
      </c>
      <c r="L1785" s="1">
        <f>'[2]Electricity and CHPs_CAP'!H$58</f>
        <v>2.6874790817608457E-5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4"/>
        <v>GWe/yr.</v>
      </c>
      <c r="F1786" s="1">
        <f>SUM(F1787:F1792)</f>
        <v>0.42309326688362342</v>
      </c>
      <c r="G1786" s="1">
        <f t="shared" ref="G1786:K1786" si="1874">SUM(G1787:G1792)</f>
        <v>0.38622746025743976</v>
      </c>
      <c r="H1786" s="1">
        <f t="shared" si="1874"/>
        <v>0.37643143841805016</v>
      </c>
      <c r="I1786" s="1">
        <f t="shared" si="1874"/>
        <v>0.34655992305931066</v>
      </c>
      <c r="J1786" s="1">
        <f t="shared" si="1874"/>
        <v>0.34945759513417612</v>
      </c>
      <c r="K1786" s="1">
        <f t="shared" si="1874"/>
        <v>0.3561827556309749</v>
      </c>
      <c r="L1786" s="1">
        <f t="shared" ref="L1786" si="1875">SUM(L1787:L1792)</f>
        <v>0.37000007439810656</v>
      </c>
      <c r="N1786" s="1"/>
    </row>
    <row r="1787" spans="2:14" x14ac:dyDescent="0.35">
      <c r="B1787" s="5" t="str">
        <f t="shared" ref="B1787:C1792" si="1876">B1786</f>
        <v>SPS1</v>
      </c>
      <c r="C1787" s="5" t="str">
        <f t="shared" si="1876"/>
        <v>CH</v>
      </c>
      <c r="D1787" t="s">
        <v>1817</v>
      </c>
      <c r="E1787" t="str">
        <f t="shared" si="1864"/>
        <v>GWe/yr.</v>
      </c>
      <c r="F1787" s="1">
        <f>'[1]Electricity and CHPs_CAP'!B$19</f>
        <v>0.30586268122458643</v>
      </c>
      <c r="G1787" s="1">
        <f>'[1]Electricity and CHPs_CAP'!C$19</f>
        <v>0.30586220918301166</v>
      </c>
      <c r="H1787" s="1">
        <f>'[1]Electricity and CHPs_CAP'!D$19</f>
        <v>0.30586216537556749</v>
      </c>
      <c r="I1787" s="1">
        <f>'[1]Electricity and CHPs_CAP'!E$19</f>
        <v>0.2759923019498291</v>
      </c>
      <c r="J1787" s="1">
        <f>'[2]Electricity and CHPs_CAP'!F$19</f>
        <v>0.27948867283305273</v>
      </c>
      <c r="K1787" s="1">
        <f>'[2]Electricity and CHPs_CAP'!G$19</f>
        <v>0.28606062440152963</v>
      </c>
      <c r="L1787" s="1">
        <f>'[2]Electricity and CHPs_CAP'!H$19</f>
        <v>0.29968658285126931</v>
      </c>
      <c r="N1787" s="1"/>
    </row>
    <row r="1788" spans="2:14" x14ac:dyDescent="0.35">
      <c r="B1788" s="5" t="str">
        <f t="shared" si="1876"/>
        <v>SPS1</v>
      </c>
      <c r="C1788" s="5" t="str">
        <f t="shared" si="1876"/>
        <v>CH</v>
      </c>
      <c r="D1788" t="s">
        <v>1818</v>
      </c>
      <c r="E1788" t="str">
        <f t="shared" si="1864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</v>
      </c>
      <c r="N1788" s="1"/>
    </row>
    <row r="1789" spans="2:14" x14ac:dyDescent="0.35">
      <c r="B1789" s="5" t="str">
        <f t="shared" si="1876"/>
        <v>SPS1</v>
      </c>
      <c r="C1789" s="5" t="str">
        <f t="shared" si="1876"/>
        <v>CH</v>
      </c>
      <c r="D1789" t="s">
        <v>1819</v>
      </c>
      <c r="E1789" t="str">
        <f t="shared" si="1864"/>
        <v>GWe/yr.</v>
      </c>
      <c r="F1789" s="1">
        <f>'[1]Electricity and CHPs_CAP'!B$26</f>
        <v>7.8399999999999997E-2</v>
      </c>
      <c r="G1789" s="1">
        <f>'[1]Electricity and CHPs_CAP'!C$26</f>
        <v>7.1001051873236229E-2</v>
      </c>
      <c r="H1789" s="1">
        <f>'[1]Electricity and CHPs_CAP'!D$26</f>
        <v>7.0489792349326133E-2</v>
      </c>
      <c r="I1789" s="1">
        <f>'[1]Electricity and CHPs_CAP'!E$26</f>
        <v>7.0489665526808631E-2</v>
      </c>
      <c r="J1789" s="1">
        <f>'[2]Electricity and CHPs_CAP'!F$26</f>
        <v>6.9925858818989314E-2</v>
      </c>
      <c r="K1789" s="1">
        <f>'[2]Electricity and CHPs_CAP'!G$26</f>
        <v>7.0079076935226206E-2</v>
      </c>
      <c r="L1789" s="1">
        <f>'[2]Electricity and CHPs_CAP'!H$26</f>
        <v>7.029301392751354E-2</v>
      </c>
      <c r="N1789" s="1"/>
    </row>
    <row r="1790" spans="2:14" x14ac:dyDescent="0.35">
      <c r="B1790" s="5" t="str">
        <f t="shared" si="1876"/>
        <v>SPS1</v>
      </c>
      <c r="C1790" s="5" t="str">
        <f t="shared" si="1876"/>
        <v>CH</v>
      </c>
      <c r="D1790" t="s">
        <v>1820</v>
      </c>
      <c r="E1790" t="str">
        <f t="shared" si="1864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0</v>
      </c>
      <c r="N1790" s="1"/>
    </row>
    <row r="1791" spans="2:14" x14ac:dyDescent="0.35">
      <c r="B1791" s="5" t="str">
        <f t="shared" si="1876"/>
        <v>SPS1</v>
      </c>
      <c r="C1791" s="5" t="str">
        <f t="shared" si="1876"/>
        <v>CH</v>
      </c>
      <c r="D1791" t="s">
        <v>1821</v>
      </c>
      <c r="E1791" t="str">
        <f t="shared" si="1864"/>
        <v>GWe/yr.</v>
      </c>
      <c r="F1791" s="1">
        <f>'[1]Electricity and CHPs_CAP'!B$44</f>
        <v>3.8830585659036999E-2</v>
      </c>
      <c r="G1791" s="1">
        <f>'[1]Electricity and CHPs_CAP'!C$44</f>
        <v>9.3641992011918584E-3</v>
      </c>
      <c r="H1791" s="1">
        <f>'[1]Electricity and CHPs_CAP'!D$44</f>
        <v>7.9480693156566695E-5</v>
      </c>
      <c r="I1791" s="1">
        <f>'[1]Electricity and CHPs_CAP'!E$44</f>
        <v>7.7955582672952634E-5</v>
      </c>
      <c r="J1791" s="1">
        <f>'[2]Electricity and CHPs_CAP'!F$44</f>
        <v>4.3063482134064746E-5</v>
      </c>
      <c r="K1791" s="1">
        <f>'[2]Electricity and CHPs_CAP'!G$44</f>
        <v>4.3054294219064745E-5</v>
      </c>
      <c r="L1791" s="1">
        <f>'[2]Electricity and CHPs_CAP'!H$44</f>
        <v>2.0477619323742112E-5</v>
      </c>
      <c r="N1791" s="1"/>
    </row>
    <row r="1792" spans="2:14" x14ac:dyDescent="0.35">
      <c r="B1792" s="5" t="str">
        <f t="shared" si="1876"/>
        <v>SPS1</v>
      </c>
      <c r="C1792" s="5" t="str">
        <f t="shared" si="1876"/>
        <v>CH</v>
      </c>
      <c r="D1792" t="s">
        <v>1822</v>
      </c>
      <c r="E1792" t="str">
        <f t="shared" si="1864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0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4"/>
        <v>GWe/yr.</v>
      </c>
      <c r="F1793" s="1">
        <f>SUM(F1794:F1800)</f>
        <v>1.9752903996247281E-2</v>
      </c>
      <c r="G1793" s="1">
        <f t="shared" ref="G1793:K1793" si="1877">SUM(G1794:G1800)</f>
        <v>1.9702296059638889E-2</v>
      </c>
      <c r="H1793" s="1">
        <f t="shared" si="1877"/>
        <v>4.9188827640545628E-2</v>
      </c>
      <c r="I1793" s="1">
        <f t="shared" si="1877"/>
        <v>9.9131281184817122E-2</v>
      </c>
      <c r="J1793" s="1">
        <f t="shared" si="1877"/>
        <v>0.13697911987537839</v>
      </c>
      <c r="K1793" s="1">
        <f t="shared" si="1877"/>
        <v>0.17662129245226399</v>
      </c>
      <c r="L1793" s="1">
        <f t="shared" ref="L1793" si="1878">SUM(L1794:L1800)</f>
        <v>0.18601129909335146</v>
      </c>
      <c r="N1793" s="1"/>
    </row>
    <row r="1794" spans="2:14" x14ac:dyDescent="0.35">
      <c r="B1794" s="5" t="str">
        <f t="shared" ref="B1794:C1804" si="1879">B1793</f>
        <v>SPS1</v>
      </c>
      <c r="C1794" s="5" t="str">
        <f t="shared" si="1879"/>
        <v>CH</v>
      </c>
      <c r="D1794" t="s">
        <v>1824</v>
      </c>
      <c r="E1794" t="str">
        <f t="shared" si="1864"/>
        <v>GWe/yr.</v>
      </c>
      <c r="F1794" s="1">
        <f>'[1]Electricity and CHPs_CAP'!B$25</f>
        <v>1.3313684453287199E-2</v>
      </c>
      <c r="G1794" s="1">
        <f>'[1]Electricity and CHPs_CAP'!C$25</f>
        <v>2.7511037404386804E-3</v>
      </c>
      <c r="H1794" s="1">
        <f>'[1]Electricity and CHPs_CAP'!D$25</f>
        <v>2.7438266746095188E-3</v>
      </c>
      <c r="I1794" s="1">
        <f>'[1]Electricity and CHPs_CAP'!E$25</f>
        <v>3.9814622617166791E-2</v>
      </c>
      <c r="J1794" s="1">
        <f>'[2]Electricity and CHPs_CAP'!F$25</f>
        <v>4.1503232177228108E-2</v>
      </c>
      <c r="K1794" s="1">
        <f>'[2]Electricity and CHPs_CAP'!G$25</f>
        <v>3.9567169464095941E-2</v>
      </c>
      <c r="L1794" s="1">
        <f>'[2]Electricity and CHPs_CAP'!H$25</f>
        <v>6.3668085046457955E-4</v>
      </c>
      <c r="N1794" s="1"/>
    </row>
    <row r="1795" spans="2:14" x14ac:dyDescent="0.35">
      <c r="B1795" s="5" t="str">
        <f t="shared" si="1879"/>
        <v>SPS1</v>
      </c>
      <c r="C1795" s="5" t="str">
        <f t="shared" si="1879"/>
        <v>CH</v>
      </c>
      <c r="D1795" t="s">
        <v>1825</v>
      </c>
      <c r="E1795" t="str">
        <f t="shared" si="1864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0</v>
      </c>
      <c r="L1795" s="1">
        <f>'[2]Electricity and CHPs_CAP'!H$31</f>
        <v>0</v>
      </c>
      <c r="N1795" s="1"/>
    </row>
    <row r="1796" spans="2:14" x14ac:dyDescent="0.35">
      <c r="B1796" s="5" t="str">
        <f t="shared" si="1879"/>
        <v>SPS1</v>
      </c>
      <c r="C1796" s="5" t="str">
        <f t="shared" si="1879"/>
        <v>CH</v>
      </c>
      <c r="D1796" t="s">
        <v>1826</v>
      </c>
      <c r="E1796" t="str">
        <f t="shared" si="1864"/>
        <v>GWe/yr.</v>
      </c>
      <c r="F1796" s="1">
        <f>'[1]Electricity and CHPs_CAP'!B$42</f>
        <v>6.4392195429600809E-3</v>
      </c>
      <c r="G1796" s="1">
        <f>'[1]Electricity and CHPs_CAP'!C$42</f>
        <v>1.6951192319200208E-2</v>
      </c>
      <c r="H1796" s="1">
        <f>'[1]Electricity and CHPs_CAP'!D$42</f>
        <v>4.6445000965936109E-2</v>
      </c>
      <c r="I1796" s="1">
        <f>'[1]Electricity and CHPs_CAP'!E$42</f>
        <v>5.9308203443770142E-2</v>
      </c>
      <c r="J1796" s="1">
        <f>'[2]Electricity and CHPs_CAP'!F$42</f>
        <v>9.5405893572885675E-2</v>
      </c>
      <c r="K1796" s="1">
        <f>'[2]Electricity and CHPs_CAP'!G$42</f>
        <v>0.13700018355231641</v>
      </c>
      <c r="L1796" s="1">
        <f>'[2]Electricity and CHPs_CAP'!H$42</f>
        <v>0.18531472097178189</v>
      </c>
      <c r="N1796" s="1"/>
    </row>
    <row r="1797" spans="2:14" x14ac:dyDescent="0.35">
      <c r="B1797" s="5" t="str">
        <f t="shared" si="1879"/>
        <v>SPS1</v>
      </c>
      <c r="C1797" s="5" t="str">
        <f t="shared" si="1879"/>
        <v>CH</v>
      </c>
      <c r="D1797" t="s">
        <v>1827</v>
      </c>
      <c r="E1797" t="str">
        <f t="shared" si="1864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0</v>
      </c>
      <c r="N1797" s="1"/>
    </row>
    <row r="1798" spans="2:14" x14ac:dyDescent="0.35">
      <c r="B1798" s="5" t="str">
        <f t="shared" si="1879"/>
        <v>SPS1</v>
      </c>
      <c r="C1798" s="5" t="str">
        <f t="shared" si="1879"/>
        <v>CH</v>
      </c>
      <c r="D1798" t="s">
        <v>1828</v>
      </c>
      <c r="E1798" t="str">
        <f t="shared" si="1864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1.796585766999992E-6</v>
      </c>
      <c r="J1798" s="1">
        <f>'[2]Electricity and CHPs_CAP'!F$50</f>
        <v>1.853470863816833E-5</v>
      </c>
      <c r="K1798" s="1">
        <f>'[2]Electricity and CHPs_CAP'!G$50</f>
        <v>1.4427638425074184E-5</v>
      </c>
      <c r="L1798" s="1">
        <f>'[2]Electricity and CHPs_CAP'!H$50</f>
        <v>1.550443443880081E-5</v>
      </c>
      <c r="N1798" s="1"/>
    </row>
    <row r="1799" spans="2:14" x14ac:dyDescent="0.35">
      <c r="B1799" s="5" t="str">
        <f t="shared" si="1879"/>
        <v>SPS1</v>
      </c>
      <c r="C1799" s="5" t="str">
        <f t="shared" si="1879"/>
        <v>CH</v>
      </c>
      <c r="D1799" t="s">
        <v>1829</v>
      </c>
      <c r="E1799" t="str">
        <f t="shared" si="1864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3.22523526235424E-6</v>
      </c>
      <c r="J1799" s="1">
        <f>'[2]Electricity and CHPs_CAP'!F$53</f>
        <v>3.1401440875519204E-5</v>
      </c>
      <c r="K1799" s="1">
        <f>'[2]Electricity and CHPs_CAP'!G$53</f>
        <v>2.4371609473236257E-5</v>
      </c>
      <c r="L1799" s="1">
        <f>'[2]Electricity and CHPs_CAP'!H$53</f>
        <v>3.5219217396552016E-5</v>
      </c>
      <c r="N1799" s="1"/>
    </row>
    <row r="1800" spans="2:14" x14ac:dyDescent="0.35">
      <c r="B1800" s="5" t="str">
        <f t="shared" si="1879"/>
        <v>SPS1</v>
      </c>
      <c r="C1800" s="5" t="str">
        <f t="shared" si="1879"/>
        <v>CH</v>
      </c>
      <c r="D1800" t="s">
        <v>1830</v>
      </c>
      <c r="E1800" t="str">
        <f t="shared" si="1864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3.4333028508195999E-6</v>
      </c>
      <c r="J1800" s="1">
        <f>'[2]Electricity and CHPs_CAP'!F$56</f>
        <v>2.0057975750929001E-5</v>
      </c>
      <c r="K1800" s="1">
        <f>'[2]Electricity and CHPs_CAP'!G$56</f>
        <v>1.514018795331668E-5</v>
      </c>
      <c r="L1800" s="1">
        <f>'[2]Electricity and CHPs_CAP'!H$56</f>
        <v>9.1736192696294675E-6</v>
      </c>
      <c r="N1800" s="1"/>
    </row>
    <row r="1801" spans="2:14" x14ac:dyDescent="0.35">
      <c r="B1801" s="5" t="str">
        <f t="shared" si="1879"/>
        <v>SPS1</v>
      </c>
      <c r="C1801" s="5" t="str">
        <f t="shared" si="1879"/>
        <v>CH</v>
      </c>
      <c r="D1801" t="s">
        <v>1831</v>
      </c>
      <c r="E1801" t="str">
        <f t="shared" si="1864"/>
        <v>GWe/yr.</v>
      </c>
      <c r="F1801" s="1">
        <f>F1802</f>
        <v>8.7120000000000003E-2</v>
      </c>
      <c r="G1801" s="1">
        <f t="shared" ref="G1801:L1801" si="1880">G1802</f>
        <v>9.0660015290532983E-2</v>
      </c>
      <c r="H1801" s="1">
        <f t="shared" si="1880"/>
        <v>8.3655932784461984E-2</v>
      </c>
      <c r="I1801" s="1">
        <f t="shared" si="1880"/>
        <v>0.34087568043792532</v>
      </c>
      <c r="J1801" s="1">
        <f t="shared" si="1880"/>
        <v>0.14554898528417481</v>
      </c>
      <c r="K1801" s="1">
        <f t="shared" si="1880"/>
        <v>0.14554916819972469</v>
      </c>
      <c r="L1801" s="1">
        <f t="shared" si="1880"/>
        <v>0.14554901260663999</v>
      </c>
      <c r="N1801" s="1"/>
    </row>
    <row r="1802" spans="2:14" x14ac:dyDescent="0.35">
      <c r="B1802" s="5" t="str">
        <f t="shared" si="1879"/>
        <v>SPS1</v>
      </c>
      <c r="C1802" s="5" t="str">
        <f t="shared" si="1879"/>
        <v>CH</v>
      </c>
      <c r="D1802" t="s">
        <v>1832</v>
      </c>
      <c r="E1802" t="str">
        <f t="shared" si="1864"/>
        <v>GWe/yr.</v>
      </c>
      <c r="F1802" s="1">
        <f>'[1]Electricity and CHPs_CAP'!B$33</f>
        <v>8.7120000000000003E-2</v>
      </c>
      <c r="G1802" s="1">
        <f>'[1]Electricity and CHPs_CAP'!C$33</f>
        <v>9.0660015290532983E-2</v>
      </c>
      <c r="H1802" s="1">
        <f>'[1]Electricity and CHPs_CAP'!D$33</f>
        <v>8.3655932784461984E-2</v>
      </c>
      <c r="I1802" s="1">
        <f>'[1]Electricity and CHPs_CAP'!E$33</f>
        <v>0.34087568043792532</v>
      </c>
      <c r="J1802" s="1">
        <f>'[2]Electricity and CHPs_CAP'!F$33</f>
        <v>0.14554898528417481</v>
      </c>
      <c r="K1802" s="1">
        <f>'[2]Electricity and CHPs_CAP'!G$33</f>
        <v>0.14554916819972469</v>
      </c>
      <c r="L1802" s="1">
        <f>'[2]Electricity and CHPs_CAP'!H$33</f>
        <v>0.14554901260663999</v>
      </c>
      <c r="N1802" s="1"/>
    </row>
    <row r="1803" spans="2:14" x14ac:dyDescent="0.35">
      <c r="B1803" s="5" t="str">
        <f t="shared" si="1879"/>
        <v>SPS1</v>
      </c>
      <c r="C1803" s="5" t="str">
        <f t="shared" si="1879"/>
        <v>CH</v>
      </c>
      <c r="D1803" t="s">
        <v>1833</v>
      </c>
      <c r="E1803" t="str">
        <f t="shared" si="1864"/>
        <v>GWe/yr.</v>
      </c>
      <c r="F1803" s="1">
        <f>SUM(F1804:F1808)</f>
        <v>2.9746549999999998</v>
      </c>
      <c r="G1803" s="1">
        <f t="shared" ref="G1803:K1803" si="1881">SUM(G1804:G1808)</f>
        <v>4.370882180780697</v>
      </c>
      <c r="H1803" s="1">
        <f t="shared" si="1881"/>
        <v>9.1889298911532347</v>
      </c>
      <c r="I1803" s="1">
        <f t="shared" si="1881"/>
        <v>11.185700602676127</v>
      </c>
      <c r="J1803" s="1">
        <f t="shared" si="1881"/>
        <v>9.4799570415806222</v>
      </c>
      <c r="K1803" s="1">
        <f t="shared" si="1881"/>
        <v>9.9739750834431753</v>
      </c>
      <c r="L1803" s="1">
        <f t="shared" ref="L1803" si="1882">SUM(L1804:L1808)</f>
        <v>10.978896652654367</v>
      </c>
      <c r="N1803" s="1"/>
    </row>
    <row r="1804" spans="2:14" x14ac:dyDescent="0.35">
      <c r="B1804" s="5" t="str">
        <f t="shared" si="1879"/>
        <v>SPS1</v>
      </c>
      <c r="C1804" s="5" t="str">
        <f t="shared" si="1879"/>
        <v>CH</v>
      </c>
      <c r="D1804" t="s">
        <v>1834</v>
      </c>
      <c r="E1804" t="str">
        <f t="shared" si="1864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4.49256426329794E-2</v>
      </c>
      <c r="I1804" s="1">
        <f>'[1]Electricity and CHPs_CAP'!E$34</f>
        <v>0.12137559051701421</v>
      </c>
      <c r="J1804" s="1">
        <f>'[2]Electricity and CHPs_CAP'!F$34</f>
        <v>6.8835043076846472E-2</v>
      </c>
      <c r="K1804" s="1">
        <f>'[2]Electricity and CHPs_CAP'!G$34</f>
        <v>6.8904218933335079E-2</v>
      </c>
      <c r="L1804" s="1">
        <f>'[2]Electricity and CHPs_CAP'!H$34</f>
        <v>6.3999872787231403E-3</v>
      </c>
      <c r="N1804" s="1"/>
    </row>
    <row r="1805" spans="2:14" x14ac:dyDescent="0.35">
      <c r="B1805" s="5" t="str">
        <f t="shared" ref="B1805:C1820" si="1883">B1804</f>
        <v>SPS1</v>
      </c>
      <c r="C1805" s="5" t="str">
        <f t="shared" si="1883"/>
        <v>CH</v>
      </c>
      <c r="D1805" t="s">
        <v>1835</v>
      </c>
      <c r="E1805" t="str">
        <f t="shared" si="1864"/>
        <v>GWe/yr.</v>
      </c>
      <c r="F1805" s="1">
        <f>'[1]Electricity and CHPs_CAP'!B$35</f>
        <v>1.1186210000000001</v>
      </c>
      <c r="G1805" s="1">
        <f>'[1]Electricity and CHPs_CAP'!C$35</f>
        <v>1.6529270324457845</v>
      </c>
      <c r="H1805" s="1">
        <f>'[1]Electricity and CHPs_CAP'!D$35</f>
        <v>3.5611858876934601</v>
      </c>
      <c r="I1805" s="1">
        <f>'[1]Electricity and CHPs_CAP'!E$35</f>
        <v>5.6146830368830303</v>
      </c>
      <c r="J1805" s="1">
        <f>'[2]Electricity and CHPs_CAP'!F$35</f>
        <v>3.6704114627399402</v>
      </c>
      <c r="K1805" s="1">
        <f>'[2]Electricity and CHPs_CAP'!G$35</f>
        <v>3.8576393486128668</v>
      </c>
      <c r="L1805" s="1">
        <f>'[2]Electricity and CHPs_CAP'!H$35</f>
        <v>4.2612334513624903</v>
      </c>
      <c r="N1805" s="1"/>
    </row>
    <row r="1806" spans="2:14" x14ac:dyDescent="0.35">
      <c r="B1806" s="5" t="str">
        <f t="shared" si="1883"/>
        <v>SPS1</v>
      </c>
      <c r="C1806" s="5" t="str">
        <f t="shared" si="1883"/>
        <v>CH</v>
      </c>
      <c r="D1806" t="s">
        <v>1836</v>
      </c>
      <c r="E1806" t="str">
        <f t="shared" si="1864"/>
        <v>GWe/yr.</v>
      </c>
      <c r="F1806" s="1">
        <f>'[1]Electricity and CHPs_CAP'!B$36</f>
        <v>0.67885700000000004</v>
      </c>
      <c r="G1806" s="1">
        <f>'[1]Electricity and CHPs_CAP'!C$36</f>
        <v>1.1559039665013733</v>
      </c>
      <c r="H1806" s="1">
        <f>'[1]Electricity and CHPs_CAP'!D$36</f>
        <v>1.2893124122744692</v>
      </c>
      <c r="I1806" s="1">
        <f>'[1]Electricity and CHPs_CAP'!E$36</f>
        <v>1.2524298029135548</v>
      </c>
      <c r="J1806" s="1">
        <f>'[2]Electricity and CHPs_CAP'!F$36</f>
        <v>1.3292895864710401</v>
      </c>
      <c r="K1806" s="1">
        <f>'[2]Electricity and CHPs_CAP'!G$36</f>
        <v>1.4109837081170591</v>
      </c>
      <c r="L1806" s="1">
        <f>'[2]Electricity and CHPs_CAP'!H$36</f>
        <v>1.5897420311302131</v>
      </c>
      <c r="N1806" s="1"/>
    </row>
    <row r="1807" spans="2:14" x14ac:dyDescent="0.35">
      <c r="B1807" s="5" t="str">
        <f t="shared" si="1883"/>
        <v>SPS1</v>
      </c>
      <c r="C1807" s="5" t="str">
        <f t="shared" si="1883"/>
        <v>CH</v>
      </c>
      <c r="D1807" t="s">
        <v>1837</v>
      </c>
      <c r="E1807" t="str">
        <f t="shared" si="1864"/>
        <v>GWe/yr.</v>
      </c>
      <c r="F1807" s="1">
        <f>'[1]Electricity and CHPs_CAP'!B$37</f>
        <v>0.27424799999999999</v>
      </c>
      <c r="G1807" s="1">
        <f>'[1]Electricity and CHPs_CAP'!C$37</f>
        <v>0.43894990355640812</v>
      </c>
      <c r="H1807" s="1">
        <f>'[1]Electricity and CHPs_CAP'!D$37</f>
        <v>1.1135606130346667</v>
      </c>
      <c r="I1807" s="1">
        <f>'[1]Electricity and CHPs_CAP'!E$37</f>
        <v>1.1018360969315868</v>
      </c>
      <c r="J1807" s="1">
        <f>'[2]Electricity and CHPs_CAP'!F$37</f>
        <v>1.1581497097292162</v>
      </c>
      <c r="K1807" s="1">
        <f>'[2]Electricity and CHPs_CAP'!G$37</f>
        <v>1.217227031219505</v>
      </c>
      <c r="L1807" s="1">
        <f>'[2]Electricity and CHPs_CAP'!H$37</f>
        <v>1.3445747071908101</v>
      </c>
      <c r="N1807" s="1"/>
    </row>
    <row r="1808" spans="2:14" x14ac:dyDescent="0.35">
      <c r="B1808" s="5" t="str">
        <f t="shared" si="1883"/>
        <v>SPS1</v>
      </c>
      <c r="C1808" s="5" t="str">
        <f t="shared" si="1883"/>
        <v>CH</v>
      </c>
      <c r="D1808" t="s">
        <v>1838</v>
      </c>
      <c r="E1808" t="str">
        <f t="shared" si="1864"/>
        <v>GWe/yr.</v>
      </c>
      <c r="F1808" s="1">
        <f>'[1]Electricity and CHPs_CAP'!B$38</f>
        <v>0.90292899999999998</v>
      </c>
      <c r="G1808" s="1">
        <f>'[1]Electricity and CHPs_CAP'!C$38</f>
        <v>1.1231012782771315</v>
      </c>
      <c r="H1808" s="1">
        <f>'[1]Electricity and CHPs_CAP'!D$38</f>
        <v>3.1799453355176599</v>
      </c>
      <c r="I1808" s="1">
        <f>'[1]Electricity and CHPs_CAP'!E$38</f>
        <v>3.0953760754309401</v>
      </c>
      <c r="J1808" s="1">
        <f>'[2]Electricity and CHPs_CAP'!F$38</f>
        <v>3.253271239563579</v>
      </c>
      <c r="K1808" s="1">
        <f>'[2]Electricity and CHPs_CAP'!G$38</f>
        <v>3.419220776560409</v>
      </c>
      <c r="L1808" s="1">
        <f>'[2]Electricity and CHPs_CAP'!H$38</f>
        <v>3.7769464756921298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4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5.0593833464325498E-6</v>
      </c>
      <c r="L1809" s="1">
        <f>'[2]Electricity and CHPs_CAP'!H$32</f>
        <v>3.2323955230160801E-5</v>
      </c>
      <c r="N1809" s="1"/>
    </row>
    <row r="1810" spans="2:14" x14ac:dyDescent="0.35">
      <c r="B1810" s="5" t="str">
        <f t="shared" ref="B1810:C1810" si="1884">B1809</f>
        <v>SPS1</v>
      </c>
      <c r="C1810" s="5" t="str">
        <f t="shared" si="1884"/>
        <v>CH</v>
      </c>
      <c r="D1810" t="s">
        <v>1840</v>
      </c>
      <c r="E1810" t="str">
        <f t="shared" si="1864"/>
        <v>GWe/yr.</v>
      </c>
      <c r="F1810" s="1">
        <f>F1809</f>
        <v>0</v>
      </c>
      <c r="G1810" s="1">
        <f t="shared" ref="G1810:K1810" si="1885">G1809</f>
        <v>0</v>
      </c>
      <c r="H1810" s="1">
        <f t="shared" si="1885"/>
        <v>0</v>
      </c>
      <c r="I1810" s="1">
        <f t="shared" si="1885"/>
        <v>0</v>
      </c>
      <c r="J1810" s="1">
        <f t="shared" si="1885"/>
        <v>0</v>
      </c>
      <c r="K1810" s="1">
        <f t="shared" si="1885"/>
        <v>5.0593833464325498E-6</v>
      </c>
      <c r="L1810" s="1">
        <f t="shared" ref="L1810" si="1886">L1809</f>
        <v>3.2323955230160801E-5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4"/>
        <v>GWe/yr.</v>
      </c>
      <c r="F1811" s="1">
        <f t="shared" ref="F1811:K1811" si="1887">SUM(F1812:F1814)</f>
        <v>0</v>
      </c>
      <c r="G1811" s="1">
        <f t="shared" si="1887"/>
        <v>0</v>
      </c>
      <c r="H1811" s="1">
        <f t="shared" si="1887"/>
        <v>0</v>
      </c>
      <c r="I1811" s="1">
        <f t="shared" si="1887"/>
        <v>0</v>
      </c>
      <c r="J1811" s="1">
        <f t="shared" si="1887"/>
        <v>0</v>
      </c>
      <c r="K1811" s="1">
        <f t="shared" si="1887"/>
        <v>0</v>
      </c>
      <c r="L1811" s="1">
        <f t="shared" ref="L1811" si="1888">SUM(L1812:L1814)</f>
        <v>0</v>
      </c>
      <c r="N1811" s="1"/>
    </row>
    <row r="1812" spans="2:14" x14ac:dyDescent="0.35">
      <c r="B1812" s="5" t="str">
        <f t="shared" si="1883"/>
        <v>SPS1</v>
      </c>
      <c r="C1812" s="5" t="str">
        <f t="shared" si="1883"/>
        <v>CH</v>
      </c>
      <c r="D1812" t="s">
        <v>1842</v>
      </c>
      <c r="E1812" t="str">
        <f t="shared" si="1864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0</v>
      </c>
      <c r="L1812" s="1">
        <f>'[2]Electricity and CHPs_CAP'!H$30</f>
        <v>0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4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0</v>
      </c>
      <c r="K1813" s="1">
        <f>'[2]Electricity and CHPs_CAP'!G$46</f>
        <v>0</v>
      </c>
      <c r="L1813" s="1">
        <f>'[2]Electricity and CHPs_CAP'!H$46</f>
        <v>0</v>
      </c>
      <c r="N1813" s="1"/>
    </row>
    <row r="1814" spans="2:14" x14ac:dyDescent="0.35">
      <c r="B1814" s="5" t="str">
        <f t="shared" si="1883"/>
        <v>SPS1</v>
      </c>
      <c r="C1814" s="5" t="str">
        <f t="shared" si="1883"/>
        <v>CH</v>
      </c>
      <c r="D1814" t="s">
        <v>1844</v>
      </c>
      <c r="E1814" t="str">
        <f t="shared" si="1864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0</v>
      </c>
      <c r="J1814" s="1">
        <f>'[2]Electricity and CHPs_CAP'!F$57</f>
        <v>0</v>
      </c>
      <c r="K1814" s="1">
        <f>'[2]Electricity and CHPs_CAP'!G$57</f>
        <v>0</v>
      </c>
      <c r="L1814" s="1">
        <f>'[2]Electricity and CHPs_CAP'!H$57</f>
        <v>0</v>
      </c>
      <c r="N1814" s="1"/>
    </row>
    <row r="1815" spans="2:14" x14ac:dyDescent="0.35">
      <c r="B1815" s="5" t="str">
        <f t="shared" si="1883"/>
        <v>SPS1</v>
      </c>
      <c r="C1815" s="5" t="str">
        <f t="shared" si="1883"/>
        <v>CH</v>
      </c>
      <c r="D1815" t="s">
        <v>1845</v>
      </c>
      <c r="E1815" t="str">
        <f t="shared" si="1864"/>
        <v>GWe/yr.</v>
      </c>
      <c r="F1815" s="1">
        <f>SUM(F1816:F1822)</f>
        <v>0.10134948288831554</v>
      </c>
      <c r="G1815" s="1">
        <f t="shared" ref="G1815:K1815" si="1889">SUM(G1816:G1822)</f>
        <v>0.10134795706783765</v>
      </c>
      <c r="H1815" s="1">
        <f t="shared" si="1889"/>
        <v>0.47008350968280477</v>
      </c>
      <c r="I1815" s="1">
        <f t="shared" si="1889"/>
        <v>0.58704947612697267</v>
      </c>
      <c r="J1815" s="1">
        <f t="shared" si="1889"/>
        <v>0.41400910347676245</v>
      </c>
      <c r="K1815" s="1">
        <f t="shared" si="1889"/>
        <v>0.44924292438628538</v>
      </c>
      <c r="L1815" s="1">
        <f t="shared" ref="L1815" si="1890">SUM(L1816:L1822)</f>
        <v>0.54662569230806912</v>
      </c>
      <c r="N1815" s="1"/>
    </row>
    <row r="1816" spans="2:14" x14ac:dyDescent="0.35">
      <c r="B1816" s="5" t="str">
        <f t="shared" si="1883"/>
        <v>SPS1</v>
      </c>
      <c r="C1816" s="5" t="str">
        <f t="shared" si="1883"/>
        <v>CH</v>
      </c>
      <c r="D1816" t="s">
        <v>1846</v>
      </c>
      <c r="E1816" t="str">
        <f t="shared" si="1864"/>
        <v>GWe/yr.</v>
      </c>
      <c r="F1816" s="1">
        <f>'[1]Electricity and CHPs_CAP'!B$63</f>
        <v>0.1</v>
      </c>
      <c r="G1816" s="1">
        <f>'[1]Electricity and CHPs_CAP'!C$63</f>
        <v>9.9997017632778851E-2</v>
      </c>
      <c r="H1816" s="1">
        <f>'[1]Electricity and CHPs_CAP'!D$63</f>
        <v>9.9996845895696837E-2</v>
      </c>
      <c r="I1816" s="1">
        <f>'[1]Electricity and CHPs_CAP'!E$63</f>
        <v>9.9996756667802403E-2</v>
      </c>
      <c r="J1816" s="1">
        <f>'[2]Electricity and CHPs_CAP'!F$63</f>
        <v>3.5876248197226623E-4</v>
      </c>
      <c r="K1816" s="1">
        <f>'[2]Electricity and CHPs_CAP'!G$63</f>
        <v>3.5871768002015969E-4</v>
      </c>
      <c r="L1816" s="1">
        <f>'[2]Electricity and CHPs_CAP'!H$63</f>
        <v>3.5875336454650741E-4</v>
      </c>
      <c r="N1816" s="1"/>
    </row>
    <row r="1817" spans="2:14" x14ac:dyDescent="0.35">
      <c r="B1817" s="5" t="str">
        <f t="shared" si="1883"/>
        <v>SPS1</v>
      </c>
      <c r="C1817" s="5" t="str">
        <f t="shared" si="1883"/>
        <v>CH</v>
      </c>
      <c r="D1817" t="s">
        <v>1847</v>
      </c>
      <c r="E1817" t="str">
        <f t="shared" si="1864"/>
        <v>GWe/yr.</v>
      </c>
      <c r="F1817" s="1">
        <f>'[1]Electricity and CHPs_CAP'!B$64</f>
        <v>2.27130938849804E-4</v>
      </c>
      <c r="G1817" s="1">
        <f>'[1]Electricity and CHPs_CAP'!C$64</f>
        <v>2.2730491745640331E-4</v>
      </c>
      <c r="H1817" s="1">
        <f>'[1]Electricity and CHPs_CAP'!D$64</f>
        <v>6.3016306518305443E-3</v>
      </c>
      <c r="I1817" s="1">
        <f>'[1]Electricity and CHPs_CAP'!E$64</f>
        <v>2.649775207111453E-2</v>
      </c>
      <c r="J1817" s="1">
        <f>'[2]Electricity and CHPs_CAP'!F$64</f>
        <v>1.1677332816968734E-2</v>
      </c>
      <c r="K1817" s="1">
        <f>'[2]Electricity and CHPs_CAP'!G$64</f>
        <v>1.204448072021713E-2</v>
      </c>
      <c r="L1817" s="1">
        <f>'[2]Electricity and CHPs_CAP'!H$64</f>
        <v>1.325668630126715E-2</v>
      </c>
      <c r="N1817" s="1"/>
    </row>
    <row r="1818" spans="2:14" x14ac:dyDescent="0.35">
      <c r="B1818" s="5" t="str">
        <f t="shared" si="1883"/>
        <v>SPS1</v>
      </c>
      <c r="C1818" s="5" t="str">
        <f t="shared" si="1883"/>
        <v>CH</v>
      </c>
      <c r="D1818" t="s">
        <v>1848</v>
      </c>
      <c r="E1818" t="str">
        <f t="shared" si="1864"/>
        <v>GWe/yr.</v>
      </c>
      <c r="F1818" s="1">
        <f>'[1]Electricity and CHPs_CAP'!B$65</f>
        <v>1.6545657109003699E-4</v>
      </c>
      <c r="G1818" s="1">
        <f>'[1]Electricity and CHPs_CAP'!C$65</f>
        <v>1.6558970330380008E-4</v>
      </c>
      <c r="H1818" s="1">
        <f>'[1]Electricity and CHPs_CAP'!D$65</f>
        <v>3.8837261403423477E-3</v>
      </c>
      <c r="I1818" s="1">
        <f>'[1]Electricity and CHPs_CAP'!E$65</f>
        <v>1.4393967474372917E-2</v>
      </c>
      <c r="J1818" s="1">
        <f>'[2]Electricity and CHPs_CAP'!F$65</f>
        <v>6.890123036340335E-3</v>
      </c>
      <c r="K1818" s="1">
        <f>'[2]Electricity and CHPs_CAP'!G$65</f>
        <v>7.1103131245678431E-3</v>
      </c>
      <c r="L1818" s="1">
        <f>'[2]Electricity and CHPs_CAP'!H$65</f>
        <v>7.110354747917904E-3</v>
      </c>
      <c r="N1818" s="1"/>
    </row>
    <row r="1819" spans="2:14" x14ac:dyDescent="0.35">
      <c r="B1819" s="5" t="str">
        <f t="shared" si="1883"/>
        <v>SPS1</v>
      </c>
      <c r="C1819" s="5" t="str">
        <f t="shared" si="1883"/>
        <v>CH</v>
      </c>
      <c r="D1819" t="s">
        <v>1849</v>
      </c>
      <c r="E1819" t="str">
        <f t="shared" si="1864"/>
        <v>GWe/yr.</v>
      </c>
      <c r="F1819" s="1">
        <f>'[1]Electricity and CHPs_CAP'!B$66</f>
        <v>1.6085671997848882E-4</v>
      </c>
      <c r="G1819" s="1">
        <f>'[1]Electricity and CHPs_CAP'!C$66</f>
        <v>1.6105266035990667E-4</v>
      </c>
      <c r="H1819" s="1">
        <f>'[1]Electricity and CHPs_CAP'!D$66</f>
        <v>6.9483698079187403E-2</v>
      </c>
      <c r="I1819" s="1">
        <f>'[1]Electricity and CHPs_CAP'!E$66</f>
        <v>0.15319936296179992</v>
      </c>
      <c r="J1819" s="1">
        <f>'[2]Electricity and CHPs_CAP'!F$66</f>
        <v>7.6388921745891153E-2</v>
      </c>
      <c r="K1819" s="1">
        <f>'[2]Electricity and CHPs_CAP'!G$66</f>
        <v>8.2794441813387312E-2</v>
      </c>
      <c r="L1819" s="1">
        <f>'[2]Electricity and CHPs_CAP'!H$66</f>
        <v>0.100602202908135</v>
      </c>
      <c r="N1819" s="1"/>
    </row>
    <row r="1820" spans="2:14" x14ac:dyDescent="0.35">
      <c r="B1820" s="5" t="str">
        <f t="shared" si="1883"/>
        <v>SPS1</v>
      </c>
      <c r="C1820" s="5" t="str">
        <f t="shared" si="1883"/>
        <v>CH</v>
      </c>
      <c r="D1820" t="s">
        <v>1855</v>
      </c>
      <c r="E1820" t="str">
        <f t="shared" si="1864"/>
        <v>GWe/yr.</v>
      </c>
      <c r="F1820" s="1">
        <f>'[1]Electricity and CHPs_CAP'!B$67</f>
        <v>3.20276464083962E-4</v>
      </c>
      <c r="G1820" s="1">
        <f>'[1]Electricity and CHPs_CAP'!C$67</f>
        <v>3.2065829125296145E-4</v>
      </c>
      <c r="H1820" s="1">
        <f>'[1]Electricity and CHPs_CAP'!D$67</f>
        <v>0.12808601663663455</v>
      </c>
      <c r="I1820" s="1">
        <f>'[1]Electricity and CHPs_CAP'!E$67</f>
        <v>0.12869411358905883</v>
      </c>
      <c r="J1820" s="1">
        <f>'[2]Electricity and CHPs_CAP'!F$67</f>
        <v>0.14086110952459097</v>
      </c>
      <c r="K1820" s="1">
        <f>'[2]Electricity and CHPs_CAP'!G$67</f>
        <v>0.15419042010445741</v>
      </c>
      <c r="L1820" s="1">
        <f>'[2]Electricity and CHPs_CAP'!H$67</f>
        <v>0.19109739090651079</v>
      </c>
      <c r="N1820" s="1"/>
    </row>
    <row r="1821" spans="2:14" x14ac:dyDescent="0.35">
      <c r="B1821" s="5" t="str">
        <f t="shared" ref="B1821:C1822" si="1891">B1820</f>
        <v>SPS1</v>
      </c>
      <c r="C1821" s="5" t="str">
        <f t="shared" si="1891"/>
        <v>CH</v>
      </c>
      <c r="D1821" t="s">
        <v>1850</v>
      </c>
      <c r="E1821" t="str">
        <f t="shared" si="1864"/>
        <v>GWe/yr.</v>
      </c>
      <c r="F1821" s="1">
        <f>'[1]Electricity and CHPs_CAP'!B$68</f>
        <v>3.1412669526998185E-4</v>
      </c>
      <c r="G1821" s="1">
        <f>'[1]Electricity and CHPs_CAP'!C$68</f>
        <v>3.145023461360484E-4</v>
      </c>
      <c r="H1821" s="1">
        <f>'[1]Electricity and CHPs_CAP'!D$68</f>
        <v>3.8241603831495677E-2</v>
      </c>
      <c r="I1821" s="1">
        <f>'[1]Electricity and CHPs_CAP'!E$68</f>
        <v>3.9359354055821812E-2</v>
      </c>
      <c r="J1821" s="1">
        <f>'[2]Electricity and CHPs_CAP'!F$68</f>
        <v>4.241820478227562E-2</v>
      </c>
      <c r="K1821" s="1">
        <f>'[2]Electricity and CHPs_CAP'!G$68</f>
        <v>4.5974834026404315E-2</v>
      </c>
      <c r="L1821" s="1">
        <f>'[2]Electricity and CHPs_CAP'!H$68</f>
        <v>5.5862737036293575E-2</v>
      </c>
      <c r="N1821" s="1"/>
    </row>
    <row r="1822" spans="2:14" x14ac:dyDescent="0.35">
      <c r="B1822" s="5" t="str">
        <f t="shared" si="1891"/>
        <v>SPS1</v>
      </c>
      <c r="C1822" s="5" t="str">
        <f t="shared" si="1891"/>
        <v>CH</v>
      </c>
      <c r="D1822" t="s">
        <v>1851</v>
      </c>
      <c r="E1822" t="str">
        <f t="shared" si="1864"/>
        <v>GWe/yr.</v>
      </c>
      <c r="F1822" s="1">
        <f>'[1]Electricity and CHPs_CAP'!B$69</f>
        <v>1.6163549904325657E-4</v>
      </c>
      <c r="G1822" s="1">
        <f>'[1]Electricity and CHPs_CAP'!C$69</f>
        <v>1.6183151654969709E-4</v>
      </c>
      <c r="H1822" s="1">
        <f>'[1]Electricity and CHPs_CAP'!D$69</f>
        <v>0.12408998844761741</v>
      </c>
      <c r="I1822" s="1">
        <f>'[1]Electricity and CHPs_CAP'!E$69</f>
        <v>0.12490816930700231</v>
      </c>
      <c r="J1822" s="1">
        <f>'[2]Electricity and CHPs_CAP'!F$69</f>
        <v>0.13541464908872333</v>
      </c>
      <c r="K1822" s="1">
        <f>'[2]Electricity and CHPs_CAP'!G$69</f>
        <v>0.14676971691723123</v>
      </c>
      <c r="L1822" s="1">
        <f>'[2]Electricity and CHPs_CAP'!H$69</f>
        <v>0.17833756704339818</v>
      </c>
      <c r="N1822" s="1"/>
    </row>
    <row r="1823" spans="2:14" x14ac:dyDescent="0.35">
      <c r="B1823" s="5" t="str">
        <f t="shared" ref="B1823:C1823" si="1892">B1822</f>
        <v>SPS1</v>
      </c>
      <c r="C1823" s="5" t="str">
        <f t="shared" si="1892"/>
        <v>CH</v>
      </c>
      <c r="D1823" s="2" t="s">
        <v>1860</v>
      </c>
      <c r="E1823" s="2" t="s">
        <v>1858</v>
      </c>
      <c r="F1823" s="3">
        <f>SUM(F1824,F1843)</f>
        <v>11.163742716543332</v>
      </c>
      <c r="G1823" s="3">
        <f t="shared" ref="G1823:K1823" si="1893">SUM(G1824,G1843)</f>
        <v>11.852754511669877</v>
      </c>
      <c r="H1823" s="3">
        <f t="shared" si="1893"/>
        <v>12.59371690690241</v>
      </c>
      <c r="I1823" s="3">
        <f t="shared" si="1893"/>
        <v>13.538261459340474</v>
      </c>
      <c r="J1823" s="3">
        <f t="shared" si="1893"/>
        <v>9.9304186314850131</v>
      </c>
      <c r="K1823" s="3">
        <f t="shared" si="1893"/>
        <v>9.6051354905181086</v>
      </c>
      <c r="L1823" s="3">
        <f t="shared" ref="L1823" si="1894">SUM(L1824,L1843)</f>
        <v>9.2974526420135248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9.3027599861687147</v>
      </c>
      <c r="G1824" s="1">
        <f t="shared" ref="G1824:K1824" si="1895">SUM(G1825,G1828,G1830,G1833,G1835,G1837,G1839,G1841)</f>
        <v>9.8556840464946589</v>
      </c>
      <c r="H1824" s="1">
        <f t="shared" si="1895"/>
        <v>10.571649660800645</v>
      </c>
      <c r="I1824" s="1">
        <f t="shared" si="1895"/>
        <v>11.348565303420006</v>
      </c>
      <c r="J1824" s="1">
        <f t="shared" si="1895"/>
        <v>8.1996152498190149</v>
      </c>
      <c r="K1824" s="1">
        <f t="shared" si="1895"/>
        <v>7.7480556466256969</v>
      </c>
      <c r="L1824" s="1">
        <f t="shared" ref="L1824" si="1896">SUM(L1825,L1828,L1830,L1833,L1835,L1837,L1839,L1841)</f>
        <v>7.172717962946348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2.1116608570127378</v>
      </c>
      <c r="G1825" s="1">
        <f t="shared" ref="G1825:K1825" si="1897">SUM(G1826:G1827)</f>
        <v>2.3818912637552612</v>
      </c>
      <c r="H1825" s="1">
        <f t="shared" si="1897"/>
        <v>2.6888142934031367</v>
      </c>
      <c r="I1825" s="1">
        <f t="shared" si="1897"/>
        <v>3.0927743188753642</v>
      </c>
      <c r="J1825" s="1">
        <f t="shared" si="1897"/>
        <v>3.4599974416214896</v>
      </c>
      <c r="K1825" s="1">
        <f t="shared" si="1897"/>
        <v>3.7338099773256279</v>
      </c>
      <c r="L1825" s="1">
        <f t="shared" ref="L1825" si="1898">SUM(L1826:L1827)</f>
        <v>4.2483679944277988</v>
      </c>
      <c r="N1825" s="1"/>
    </row>
    <row r="1826" spans="2:14" x14ac:dyDescent="0.35">
      <c r="B1826" s="5" t="str">
        <f t="shared" ref="B1826:C1826" si="1899">B1825</f>
        <v>SPS1</v>
      </c>
      <c r="C1826" s="5" t="str">
        <f t="shared" si="1899"/>
        <v>CH</v>
      </c>
      <c r="D1826" t="s">
        <v>1862</v>
      </c>
      <c r="E1826" t="str">
        <f t="shared" ref="E1826:E1889" si="1900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0.67257066421212164</v>
      </c>
      <c r="G1826" s="1" cm="1">
        <f t="array" ref="G1826">SUMPRODUCT(([1]OUT_FinalEnergyCons!$B$4:$B$10000="var_cap")*1,(ISNUMBER(SEARCH("RH*-SHELCBR",[1]OUT_FinalEnergyCons!$A$4:$A$10000)))*1,[1]OUT_FinalEnergyCons!E$4:E$10000)</f>
        <v>0.71852583861072816</v>
      </c>
      <c r="H1826" s="1" cm="1">
        <f t="array" ref="H1826">SUMPRODUCT(([1]OUT_FinalEnergyCons!$B$4:$B$10000="var_cap")*1,(ISNUMBER(SEARCH("RH*-SHELCBR",[1]OUT_FinalEnergyCons!$A$4:$A$10000)))*1,[1]OUT_FinalEnergyCons!F$4:F$10000)</f>
        <v>0.13496503141723187</v>
      </c>
      <c r="I1826" s="1" cm="1">
        <f t="array" ref="I1826">SUMPRODUCT(([1]OUT_FinalEnergyCons!$B$4:$B$10000="var_cap")*1,(ISNUMBER(SEARCH("RH*-SHELCBR",[1]OUT_FinalEnergyCons!$A$4:$A$10000)))*1,[1]OUT_FinalEnergyCons!G$4:G$10000)</f>
        <v>4.2858218300503903E-2</v>
      </c>
      <c r="J1826" s="1" cm="1">
        <f t="array" ref="J1826">SUMPRODUCT(([2]OUT_FinalEnergyCons!$B$4:$B$10000="var_cap")*1,(ISNUMBER(SEARCH("RH*-SHELCBR",[2]OUT_FinalEnergyCons!$A$4:$A$10000)))*1,[2]OUT_FinalEnergyCons!H$4:H$10000)</f>
        <v>1.6757686366540472E-2</v>
      </c>
      <c r="K1826" s="1" cm="1">
        <f t="array" ref="K1826">SUMPRODUCT(([2]OUT_FinalEnergyCons!$B$4:$B$10000="var_cap")*1,(ISNUMBER(SEARCH("RH*-SHELCBR",[2]OUT_FinalEnergyCons!$A$4:$A$10000)))*1,[2]OUT_FinalEnergyCons!I$4:I$10000)</f>
        <v>9.0461422508718997E-3</v>
      </c>
      <c r="L1826" s="1" cm="1">
        <f t="array" ref="L1826">SUMPRODUCT(([2]OUT_FinalEnergyCons!$B$4:$B$10000="var_cap")*1,(ISNUMBER(SEARCH("RH*-SHELCBR",[2]OUT_FinalEnergyCons!$A$4:$A$10000)))*1,[2]OUT_FinalEnergyCons!J$4:J$10000)</f>
        <v>4.0498901490586972E-3</v>
      </c>
      <c r="N1826" s="1"/>
    </row>
    <row r="1827" spans="2:14" x14ac:dyDescent="0.35">
      <c r="B1827" s="5" t="str">
        <f t="shared" ref="B1827:C1827" si="1901">B1826</f>
        <v>SPS1</v>
      </c>
      <c r="C1827" s="5" t="str">
        <f t="shared" si="1901"/>
        <v>CH</v>
      </c>
      <c r="D1827" t="s">
        <v>1863</v>
      </c>
      <c r="E1827" t="str">
        <f t="shared" si="1900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1.4390901928006161</v>
      </c>
      <c r="G1827" s="1" cm="1">
        <f t="array" ref="G1827">SUMPRODUCT(([1]OUT_FinalEnergyCons!$B$4:$B$10000="var_cap")*1,ISNUMBER(SEARCH("RH*-SHELCHP",[1]OUT_FinalEnergyCons!$A$4:$A$10000))*1,[1]OUT_FinalEnergyCons!E$4:E$10000)</f>
        <v>1.6633654251445331</v>
      </c>
      <c r="H1827" s="1" cm="1">
        <f t="array" ref="H1827">SUMPRODUCT(([1]OUT_FinalEnergyCons!$B$4:$B$10000="var_cap")*1,ISNUMBER(SEARCH("RH*-SHELCHP",[1]OUT_FinalEnergyCons!$A$4:$A$10000))*1,[1]OUT_FinalEnergyCons!F$4:F$10000)</f>
        <v>2.553849261985905</v>
      </c>
      <c r="I1827" s="1" cm="1">
        <f t="array" ref="I1827">SUMPRODUCT(([1]OUT_FinalEnergyCons!$B$4:$B$10000="var_cap")*1,ISNUMBER(SEARCH("RH*-SHELCHP",[1]OUT_FinalEnergyCons!$A$4:$A$10000))*1,[1]OUT_FinalEnergyCons!G$4:G$10000)</f>
        <v>3.0499161005748605</v>
      </c>
      <c r="J1827" s="1" cm="1">
        <f t="array" ref="J1827">SUMPRODUCT(([2]OUT_FinalEnergyCons!$B$4:$B$10000="var_cap")*1,ISNUMBER(SEARCH("RH*-SHELCHP",[2]OUT_FinalEnergyCons!$A$4:$A$10000))*1,[2]OUT_FinalEnergyCons!H$4:H$10000)</f>
        <v>3.443239755254949</v>
      </c>
      <c r="K1827" s="1" cm="1">
        <f t="array" ref="K1827">SUMPRODUCT(([2]OUT_FinalEnergyCons!$B$4:$B$10000="var_cap")*1,ISNUMBER(SEARCH("RH*-SHELCHP",[2]OUT_FinalEnergyCons!$A$4:$A$10000))*1,[2]OUT_FinalEnergyCons!I$4:I$10000)</f>
        <v>3.7247638350747558</v>
      </c>
      <c r="L1827" s="1" cm="1">
        <f t="array" ref="L1827">SUMPRODUCT(([2]OUT_FinalEnergyCons!$B$4:$B$10000="var_cap")*1,ISNUMBER(SEARCH("RH*-SHELCHP",[2]OUT_FinalEnergyCons!$A$4:$A$10000))*1,[2]OUT_FinalEnergyCons!J$4:J$10000)</f>
        <v>4.2443181042787401</v>
      </c>
      <c r="N1827" s="1"/>
    </row>
    <row r="1828" spans="2:14" x14ac:dyDescent="0.35">
      <c r="B1828" s="5" t="str">
        <f t="shared" ref="B1828:C1828" si="1902">B1827</f>
        <v>SPS1</v>
      </c>
      <c r="C1828" s="5" t="str">
        <f t="shared" si="1902"/>
        <v>CH</v>
      </c>
      <c r="D1828" t="s">
        <v>1864</v>
      </c>
      <c r="E1828" t="str">
        <f t="shared" si="1900"/>
        <v>GWth/yr.</v>
      </c>
      <c r="F1828" s="1">
        <f>F1829</f>
        <v>3.4074053831106799</v>
      </c>
      <c r="G1828" s="1">
        <f t="shared" ref="G1828:L1828" si="1903">G1829</f>
        <v>3.4073984311506105</v>
      </c>
      <c r="H1828" s="1">
        <f t="shared" si="1903"/>
        <v>3.4715395096142858</v>
      </c>
      <c r="I1828" s="1">
        <f t="shared" si="1903"/>
        <v>3.4715266205049433</v>
      </c>
      <c r="J1828" s="1">
        <f t="shared" si="1903"/>
        <v>1.3727631534335638</v>
      </c>
      <c r="K1828" s="1">
        <f t="shared" si="1903"/>
        <v>0.95246737768920142</v>
      </c>
      <c r="L1828" s="1">
        <f t="shared" si="1903"/>
        <v>0.33947224053528147</v>
      </c>
      <c r="N1828" s="1"/>
    </row>
    <row r="1829" spans="2:14" x14ac:dyDescent="0.35">
      <c r="B1829" s="5" t="str">
        <f t="shared" ref="B1829:C1829" si="1904">B1828</f>
        <v>SPS1</v>
      </c>
      <c r="C1829" s="5" t="str">
        <f t="shared" si="1904"/>
        <v>CH</v>
      </c>
      <c r="D1829" t="s">
        <v>1865</v>
      </c>
      <c r="E1829" t="str">
        <f t="shared" si="1900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3.4073984311506105</v>
      </c>
      <c r="H1829" s="1" cm="1">
        <f t="array" ref="H1829">SUMPRODUCT(([1]OUT_FinalEnergyCons!$B$4:$B$10000="var_cap")*1, (ISNUMBER(SEARCH("RH*-SHLFOBR",[1]OUT_FinalEnergyCons!$A$4:$A$10000)))*1,[1]OUT_FinalEnergyCons!F$4:F$10000)</f>
        <v>3.4715395096142858</v>
      </c>
      <c r="I1829" s="1" cm="1">
        <f t="array" ref="I1829">SUMPRODUCT(([1]OUT_FinalEnergyCons!$B$4:$B$10000="var_cap")*1, (ISNUMBER(SEARCH("RH*-SHLFOBR",[1]OUT_FinalEnergyCons!$A$4:$A$10000)))*1,[1]OUT_FinalEnergyCons!G$4:G$10000)</f>
        <v>3.4715266205049433</v>
      </c>
      <c r="J1829" s="1" cm="1">
        <f t="array" ref="J1829">SUMPRODUCT(([2]OUT_FinalEnergyCons!$B$4:$B$10000="var_cap")*1, (ISNUMBER(SEARCH("RH*-SHLFOBR",[2]OUT_FinalEnergyCons!$A$4:$A$10000)))*1,[2]OUT_FinalEnergyCons!H$4:H$10000)</f>
        <v>1.3727631534335638</v>
      </c>
      <c r="K1829" s="1" cm="1">
        <f t="array" ref="K1829">SUMPRODUCT(([2]OUT_FinalEnergyCons!$B$4:$B$10000="var_cap")*1, (ISNUMBER(SEARCH("RH*-SHLFOBR",[2]OUT_FinalEnergyCons!$A$4:$A$10000)))*1,[2]OUT_FinalEnergyCons!I$4:I$10000)</f>
        <v>0.95246737768920142</v>
      </c>
      <c r="L1829" s="1" cm="1">
        <f t="array" ref="L1829">SUMPRODUCT(([2]OUT_FinalEnergyCons!$B$4:$B$10000="var_cap")*1, (ISNUMBER(SEARCH("RH*-SHLFOBR",[2]OUT_FinalEnergyCons!$A$4:$A$10000)))*1,[2]OUT_FinalEnergyCons!J$4:J$10000)</f>
        <v>0.33947224053528147</v>
      </c>
      <c r="N1829" s="1"/>
    </row>
    <row r="1830" spans="2:14" x14ac:dyDescent="0.35">
      <c r="B1830" s="5" t="str">
        <f t="shared" ref="B1830:C1830" si="1905">B1829</f>
        <v>SPS1</v>
      </c>
      <c r="C1830" s="5" t="str">
        <f t="shared" si="1905"/>
        <v>CH</v>
      </c>
      <c r="D1830" t="s">
        <v>1866</v>
      </c>
      <c r="E1830" t="str">
        <f t="shared" si="1900"/>
        <v>GWth/yr.</v>
      </c>
      <c r="F1830" s="1">
        <f>SUM(F1831:F1832)</f>
        <v>2.7687540771591692</v>
      </c>
      <c r="G1830" s="1">
        <f t="shared" ref="G1830:K1830" si="1906">SUM(G1831:G1832)</f>
        <v>2.9327253512875311</v>
      </c>
      <c r="H1830" s="1">
        <f t="shared" si="1906"/>
        <v>3.4564017361232309</v>
      </c>
      <c r="I1830" s="1">
        <f t="shared" si="1906"/>
        <v>3.8306504560553765</v>
      </c>
      <c r="J1830" s="1">
        <f t="shared" si="1906"/>
        <v>2.6072895614195994</v>
      </c>
      <c r="K1830" s="1">
        <f t="shared" si="1906"/>
        <v>2.397740608531695</v>
      </c>
      <c r="L1830" s="1">
        <f t="shared" ref="L1830" si="1907">SUM(L1831:L1832)</f>
        <v>2.0904476613964298</v>
      </c>
      <c r="N1830" s="1"/>
    </row>
    <row r="1831" spans="2:14" x14ac:dyDescent="0.35">
      <c r="B1831" s="5" t="str">
        <f t="shared" ref="B1831:C1831" si="1908">B1830</f>
        <v>SPS1</v>
      </c>
      <c r="C1831" s="5" t="str">
        <f t="shared" si="1908"/>
        <v>CH</v>
      </c>
      <c r="D1831" t="s">
        <v>1867</v>
      </c>
      <c r="E1831" t="str">
        <f t="shared" si="1900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2.932725117945127</v>
      </c>
      <c r="H1831" s="1" cm="1">
        <f t="array" ref="H1831">SUMPRODUCT(([1]OUT_FinalEnergyCons!$B$4:$B$10000="var_cap")*1, (ISNUMBER(SEARCH("RH*-SHNGABR",[1]OUT_FinalEnergyCons!$A$4:$A$10000)))*1,[1]OUT_FinalEnergyCons!F$4:F$10000)</f>
        <v>3.1231814063270789</v>
      </c>
      <c r="I1831" s="1" cm="1">
        <f t="array" ref="I1831">SUMPRODUCT(([1]OUT_FinalEnergyCons!$B$4:$B$10000="var_cap")*1, (ISNUMBER(SEARCH("RH*-SHNGABR",[1]OUT_FinalEnergyCons!$A$4:$A$10000)))*1,[1]OUT_FinalEnergyCons!G$4:G$10000)</f>
        <v>3.1239291620232175</v>
      </c>
      <c r="J1831" s="1" cm="1">
        <f t="array" ref="J1831">SUMPRODUCT(([2]OUT_FinalEnergyCons!$B$4:$B$10000="var_cap")*1, (ISNUMBER(SEARCH("RH*-SHNGABR",[2]OUT_FinalEnergyCons!$A$4:$A$10000)))*1,[2]OUT_FinalEnergyCons!H$4:H$10000)</f>
        <v>1.6530077052507326</v>
      </c>
      <c r="K1831" s="1" cm="1">
        <f t="array" ref="K1831">SUMPRODUCT(([2]OUT_FinalEnergyCons!$B$4:$B$10000="var_cap")*1, (ISNUMBER(SEARCH("RH*-SHNGABR",[2]OUT_FinalEnergyCons!$A$4:$A$10000)))*1,[2]OUT_FinalEnergyCons!I$4:I$10000)</f>
        <v>1.2566922970737533</v>
      </c>
      <c r="L1831" s="1" cm="1">
        <f t="array" ref="L1831">SUMPRODUCT(([2]OUT_FinalEnergyCons!$B$4:$B$10000="var_cap")*1, (ISNUMBER(SEARCH("RH*-SHNGABR",[2]OUT_FinalEnergyCons!$A$4:$A$10000)))*1,[2]OUT_FinalEnergyCons!J$4:J$10000)</f>
        <v>0.59680421873614453</v>
      </c>
      <c r="N1831" s="1"/>
    </row>
    <row r="1832" spans="2:14" x14ac:dyDescent="0.35">
      <c r="B1832" s="5" t="str">
        <f t="shared" ref="B1832:C1832" si="1909">B1831</f>
        <v>SPS1</v>
      </c>
      <c r="C1832" s="5" t="str">
        <f t="shared" si="1909"/>
        <v>CH</v>
      </c>
      <c r="D1832" t="s">
        <v>1868</v>
      </c>
      <c r="E1832" t="str">
        <f t="shared" si="1900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2.59208192242828E-8</v>
      </c>
      <c r="G1832" s="1" cm="1">
        <f t="array" ref="G1832">SUMPRODUCT(([1]OUT_FinalEnergyCons!$B$4:$B$10000="var_cap")*1,ISNUMBER(SEARCH("RH*-SHngahp",[1]OUT_FinalEnergyCons!$A$4:$A$10000))*1,[1]OUT_FinalEnergyCons!E$4:E$10000)</f>
        <v>2.3334240411024508E-7</v>
      </c>
      <c r="H1832" s="1" cm="1">
        <f t="array" ref="H1832">SUMPRODUCT(([1]OUT_FinalEnergyCons!$B$4:$B$10000="var_cap")*1,ISNUMBER(SEARCH("RH*-SHngahp",[1]OUT_FinalEnergyCons!$A$4:$A$10000))*1,[1]OUT_FinalEnergyCons!F$4:F$10000)</f>
        <v>0.33322032979615213</v>
      </c>
      <c r="I1832" s="1" cm="1">
        <f t="array" ref="I1832">SUMPRODUCT(([1]OUT_FinalEnergyCons!$B$4:$B$10000="var_cap")*1,ISNUMBER(SEARCH("RH*-SHngahp",[1]OUT_FinalEnergyCons!$A$4:$A$10000))*1,[1]OUT_FinalEnergyCons!G$4:G$10000)</f>
        <v>0.70672129403215889</v>
      </c>
      <c r="J1832" s="1" cm="1">
        <f t="array" ref="J1832">SUMPRODUCT(([2]OUT_FinalEnergyCons!$B$4:$B$10000="var_cap")*1,ISNUMBER(SEARCH("RH*-SHngahp",[2]OUT_FinalEnergyCons!$A$4:$A$10000))*1,[2]OUT_FinalEnergyCons!H$4:H$10000)</f>
        <v>0.95428185616886663</v>
      </c>
      <c r="K1832" s="1" cm="1">
        <f t="array" ref="K1832">SUMPRODUCT(([2]OUT_FinalEnergyCons!$B$4:$B$10000="var_cap")*1,ISNUMBER(SEARCH("RH*-SHngahp",[2]OUT_FinalEnergyCons!$A$4:$A$10000))*1,[2]OUT_FinalEnergyCons!I$4:I$10000)</f>
        <v>1.1410483114579417</v>
      </c>
      <c r="L1832" s="1" cm="1">
        <f t="array" ref="L1832">SUMPRODUCT(([2]OUT_FinalEnergyCons!$B$4:$B$10000="var_cap")*1,ISNUMBER(SEARCH("RH*-SHngahp",[2]OUT_FinalEnergyCons!$A$4:$A$10000))*1,[2]OUT_FinalEnergyCons!J$4:J$10000)</f>
        <v>1.4936434426602854</v>
      </c>
      <c r="N1832" s="1"/>
    </row>
    <row r="1833" spans="2:14" x14ac:dyDescent="0.35">
      <c r="B1833" s="5" t="str">
        <f t="shared" ref="B1833:C1833" si="1910">B1832</f>
        <v>SPS1</v>
      </c>
      <c r="C1833" s="5" t="str">
        <f t="shared" si="1910"/>
        <v>CH</v>
      </c>
      <c r="D1833" t="s">
        <v>1869</v>
      </c>
      <c r="E1833" t="str">
        <f t="shared" si="1900"/>
        <v>GWth/yr.</v>
      </c>
      <c r="F1833" s="1">
        <f>F1834</f>
        <v>7.0000000000000001E-3</v>
      </c>
      <c r="G1833" s="1">
        <f t="shared" ref="G1833:L1833" si="1911">G1834</f>
        <v>6.3207583524111438E-3</v>
      </c>
      <c r="H1833" s="1">
        <f t="shared" si="1911"/>
        <v>2.0116795184501202E-3</v>
      </c>
      <c r="I1833" s="1">
        <f t="shared" si="1911"/>
        <v>5.2598815053771057E-4</v>
      </c>
      <c r="J1833" s="1">
        <f t="shared" si="1911"/>
        <v>2.5371519107699912E-5</v>
      </c>
      <c r="K1833" s="1">
        <f t="shared" si="1911"/>
        <v>0</v>
      </c>
      <c r="L1833" s="1">
        <f t="shared" si="1911"/>
        <v>0</v>
      </c>
      <c r="N1833" s="1"/>
    </row>
    <row r="1834" spans="2:14" x14ac:dyDescent="0.35">
      <c r="B1834" s="5" t="str">
        <f t="shared" ref="B1834:C1834" si="1912">B1833</f>
        <v>SPS1</v>
      </c>
      <c r="C1834" s="5" t="str">
        <f t="shared" si="1912"/>
        <v>CH</v>
      </c>
      <c r="D1834" t="s">
        <v>1870</v>
      </c>
      <c r="E1834" t="str">
        <f t="shared" si="1900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6.3207583524111438E-3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2.0116795184501202E-3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5.2598815053771057E-4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2.5371519107699912E-5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0.68949993842780688</v>
      </c>
      <c r="G1835" s="1">
        <f t="shared" ref="G1835:L1835" si="1913">G1836</f>
        <v>0.75004371913441503</v>
      </c>
      <c r="H1835" s="1">
        <f t="shared" si="1913"/>
        <v>0.76421163252466762</v>
      </c>
      <c r="I1835" s="1">
        <f t="shared" si="1913"/>
        <v>0.76421070131223645</v>
      </c>
      <c r="J1835" s="1">
        <f t="shared" si="1913"/>
        <v>0.67640397997288815</v>
      </c>
      <c r="K1835" s="1">
        <f t="shared" si="1913"/>
        <v>0.60478669523484119</v>
      </c>
      <c r="L1835" s="1">
        <f t="shared" si="1913"/>
        <v>0.42335914928705998</v>
      </c>
      <c r="N1835" s="1"/>
    </row>
    <row r="1836" spans="2:14" x14ac:dyDescent="0.35">
      <c r="B1836" s="5" t="str">
        <f t="shared" ref="B1836:C1836" si="1914">B1835</f>
        <v>SPS1</v>
      </c>
      <c r="C1836" s="5" t="str">
        <f t="shared" si="1914"/>
        <v>CH</v>
      </c>
      <c r="D1836" t="s">
        <v>1872</v>
      </c>
      <c r="E1836" t="str">
        <f t="shared" si="1900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0.68949993842780688</v>
      </c>
      <c r="G1836" s="1" cm="1">
        <f t="array" ref="G1836">SUMPRODUCT(([1]OUT_FinalEnergyCons!$B$4:$B$10000="var_cap")*1, (ISNUMBER(SEARCH("RH*-SHWODBR",[1]OUT_FinalEnergyCons!$A$4:$A$10000)))*1,[1]OUT_FinalEnergyCons!E$4:E$10000)</f>
        <v>0.75004371913441503</v>
      </c>
      <c r="H1836" s="1" cm="1">
        <f t="array" ref="H1836">SUMPRODUCT(([1]OUT_FinalEnergyCons!$B$4:$B$10000="var_cap")*1, (ISNUMBER(SEARCH("RH*-SHWODBR",[1]OUT_FinalEnergyCons!$A$4:$A$10000)))*1,[1]OUT_FinalEnergyCons!F$4:F$10000)</f>
        <v>0.76421163252466762</v>
      </c>
      <c r="I1836" s="1" cm="1">
        <f t="array" ref="I1836">SUMPRODUCT(([1]OUT_FinalEnergyCons!$B$4:$B$10000="var_cap")*1, (ISNUMBER(SEARCH("RH*-SHWODBR",[1]OUT_FinalEnergyCons!$A$4:$A$10000)))*1,[1]OUT_FinalEnergyCons!G$4:G$10000)</f>
        <v>0.76421070131223645</v>
      </c>
      <c r="J1836" s="1" cm="1">
        <f t="array" ref="J1836">SUMPRODUCT(([2]OUT_FinalEnergyCons!$B$4:$B$10000="var_cap")*1, (ISNUMBER(SEARCH("RH*-SHWODBR",[2]OUT_FinalEnergyCons!$A$4:$A$10000)))*1,[2]OUT_FinalEnergyCons!H$4:H$10000)</f>
        <v>0.67640397997288815</v>
      </c>
      <c r="K1836" s="1" cm="1">
        <f t="array" ref="K1836">SUMPRODUCT(([2]OUT_FinalEnergyCons!$B$4:$B$10000="var_cap")*1, (ISNUMBER(SEARCH("RH*-SHWODBR",[2]OUT_FinalEnergyCons!$A$4:$A$10000)))*1,[2]OUT_FinalEnergyCons!I$4:I$10000)</f>
        <v>0.60478669523484119</v>
      </c>
      <c r="L1836" s="1" cm="1">
        <f t="array" ref="L1836">SUMPRODUCT(([2]OUT_FinalEnergyCons!$B$4:$B$10000="var_cap")*1, (ISNUMBER(SEARCH("RH*-SHWODBR",[2]OUT_FinalEnergyCons!$A$4:$A$10000)))*1,[2]OUT_FinalEnergyCons!J$4:J$10000)</f>
        <v>0.42335914928705998</v>
      </c>
      <c r="N1836" s="1"/>
    </row>
    <row r="1837" spans="2:14" x14ac:dyDescent="0.35">
      <c r="B1837" s="5" t="str">
        <f t="shared" ref="B1837:C1837" si="1915">B1836</f>
        <v>SPS1</v>
      </c>
      <c r="C1837" s="5" t="str">
        <f t="shared" si="1915"/>
        <v>CH</v>
      </c>
      <c r="D1837" t="s">
        <v>1873</v>
      </c>
      <c r="E1837" t="str">
        <f t="shared" si="1900"/>
        <v>GWth/yr.</v>
      </c>
      <c r="F1837" s="1">
        <f>F1838</f>
        <v>0.20438056749486153</v>
      </c>
      <c r="G1837" s="1">
        <f t="shared" ref="G1837:L1837" si="1916">G1838</f>
        <v>0.24028465670443669</v>
      </c>
      <c r="H1837" s="1">
        <f t="shared" si="1916"/>
        <v>5.6325898777037718E-2</v>
      </c>
      <c r="I1837" s="1">
        <f t="shared" si="1916"/>
        <v>5.6603058596245544E-2</v>
      </c>
      <c r="J1837" s="1">
        <f t="shared" si="1916"/>
        <v>4.6611573763995891E-2</v>
      </c>
      <c r="K1837" s="1">
        <f t="shared" si="1916"/>
        <v>5.3428445446267854E-2</v>
      </c>
      <c r="L1837" s="1">
        <f t="shared" si="1916"/>
        <v>6.5025463034778699E-2</v>
      </c>
      <c r="N1837" s="1"/>
    </row>
    <row r="1838" spans="2:14" x14ac:dyDescent="0.35">
      <c r="B1838" s="5" t="str">
        <f t="shared" ref="B1838:C1838" si="1917">B1837</f>
        <v>SPS1</v>
      </c>
      <c r="C1838" s="5" t="str">
        <f t="shared" si="1917"/>
        <v>CH</v>
      </c>
      <c r="D1838" t="s">
        <v>1874</v>
      </c>
      <c r="E1838" t="str">
        <f t="shared" si="1900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0.20438056749486153</v>
      </c>
      <c r="G1838" s="1" cm="1">
        <f t="array" ref="G1838">SUMPRODUCT(([1]OUT_FinalEnergyCons!$B$4:$B$10000="var_cap")*1, (ISNUMBER(SEARCH("RH*-SHPLTBR",[1]OUT_FinalEnergyCons!$A$4:$A$10000)))*1,[1]OUT_FinalEnergyCons!E$4:E$10000)</f>
        <v>0.24028465670443669</v>
      </c>
      <c r="H1838" s="1" cm="1">
        <f t="array" ref="H1838">SUMPRODUCT(([1]OUT_FinalEnergyCons!$B$4:$B$10000="var_cap")*1, (ISNUMBER(SEARCH("RH*-SHPLTBR",[1]OUT_FinalEnergyCons!$A$4:$A$10000)))*1,[1]OUT_FinalEnergyCons!F$4:F$10000)</f>
        <v>5.6325898777037718E-2</v>
      </c>
      <c r="I1838" s="1" cm="1">
        <f t="array" ref="I1838">SUMPRODUCT(([1]OUT_FinalEnergyCons!$B$4:$B$10000="var_cap")*1, (ISNUMBER(SEARCH("RH*-SHPLTBR",[1]OUT_FinalEnergyCons!$A$4:$A$10000)))*1,[1]OUT_FinalEnergyCons!G$4:G$10000)</f>
        <v>5.6603058596245544E-2</v>
      </c>
      <c r="J1838" s="1" cm="1">
        <f t="array" ref="J1838">SUMPRODUCT(([2]OUT_FinalEnergyCons!$B$4:$B$10000="var_cap")*1, (ISNUMBER(SEARCH("RH*-SHPLTBR",[2]OUT_FinalEnergyCons!$A$4:$A$10000)))*1,[2]OUT_FinalEnergyCons!H$4:H$10000)</f>
        <v>4.6611573763995891E-2</v>
      </c>
      <c r="K1838" s="1" cm="1">
        <f t="array" ref="K1838">SUMPRODUCT(([2]OUT_FinalEnergyCons!$B$4:$B$10000="var_cap")*1, (ISNUMBER(SEARCH("RH*-SHPLTBR",[2]OUT_FinalEnergyCons!$A$4:$A$10000)))*1,[2]OUT_FinalEnergyCons!I$4:I$10000)</f>
        <v>5.3428445446267854E-2</v>
      </c>
      <c r="L1838" s="1" cm="1">
        <f t="array" ref="L1838">SUMPRODUCT(([2]OUT_FinalEnergyCons!$B$4:$B$10000="var_cap")*1, (ISNUMBER(SEARCH("RH*-SHPLTBR",[2]OUT_FinalEnergyCons!$A$4:$A$10000)))*1,[2]OUT_FinalEnergyCons!J$4:J$10000)</f>
        <v>6.5025463034778699E-2</v>
      </c>
      <c r="N1838" s="1"/>
    </row>
    <row r="1839" spans="2:14" x14ac:dyDescent="0.35">
      <c r="B1839" s="5" t="str">
        <f t="shared" ref="B1839:C1839" si="1918">B1838</f>
        <v>SPS1</v>
      </c>
      <c r="C1839" s="5" t="str">
        <f t="shared" si="1918"/>
        <v>CH</v>
      </c>
      <c r="D1839" t="s">
        <v>1875</v>
      </c>
      <c r="E1839" t="str">
        <f t="shared" si="1900"/>
        <v>GWth/yr.</v>
      </c>
      <c r="F1839" s="1">
        <f>F1840</f>
        <v>0.11405916296345922</v>
      </c>
      <c r="G1839" s="1">
        <f t="shared" ref="G1839:L1839" si="1919">G1840</f>
        <v>0.13701986610999223</v>
      </c>
      <c r="H1839" s="1">
        <f t="shared" si="1919"/>
        <v>0.13234491083983785</v>
      </c>
      <c r="I1839" s="1">
        <f t="shared" si="1919"/>
        <v>0.13227415992530192</v>
      </c>
      <c r="J1839" s="1">
        <f t="shared" si="1919"/>
        <v>3.6524168088369099E-2</v>
      </c>
      <c r="K1839" s="1">
        <f t="shared" si="1919"/>
        <v>5.8225423980639325E-3</v>
      </c>
      <c r="L1839" s="1">
        <f t="shared" si="1919"/>
        <v>6.0454542649989633E-3</v>
      </c>
      <c r="N1839" s="1"/>
    </row>
    <row r="1840" spans="2:14" x14ac:dyDescent="0.35">
      <c r="B1840" s="5" t="str">
        <f t="shared" ref="B1840:C1840" si="1920">B1839</f>
        <v>SPS1</v>
      </c>
      <c r="C1840" s="5" t="str">
        <f t="shared" si="1920"/>
        <v>CH</v>
      </c>
      <c r="D1840" t="s">
        <v>1876</v>
      </c>
      <c r="E1840" t="str">
        <f t="shared" si="1900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0.11405916296345922</v>
      </c>
      <c r="G1840" s="1" cm="1">
        <f t="array" ref="G1840">SUMPRODUCT(([1]OUT_FinalEnergyCons!$B$4:$B$10000="var_cap")*1, (ISNUMBER(SEARCH("RH*-SHSOLBR",[1]OUT_FinalEnergyCons!$A$4:$A$10000)))*1,[1]OUT_FinalEnergyCons!E$4:E$10000)</f>
        <v>0.13701986610999223</v>
      </c>
      <c r="H1840" s="1" cm="1">
        <f t="array" ref="H1840">SUMPRODUCT(([1]OUT_FinalEnergyCons!$B$4:$B$10000="var_cap")*1, (ISNUMBER(SEARCH("RH*-SHSOLBR",[1]OUT_FinalEnergyCons!$A$4:$A$10000)))*1,[1]OUT_FinalEnergyCons!F$4:F$10000)</f>
        <v>0.13234491083983785</v>
      </c>
      <c r="I1840" s="1" cm="1">
        <f t="array" ref="I1840">SUMPRODUCT(([1]OUT_FinalEnergyCons!$B$4:$B$10000="var_cap")*1, (ISNUMBER(SEARCH("RH*-SHSOLBR",[1]OUT_FinalEnergyCons!$A$4:$A$10000)))*1,[1]OUT_FinalEnergyCons!G$4:G$10000)</f>
        <v>0.13227415992530192</v>
      </c>
      <c r="J1840" s="1" cm="1">
        <f t="array" ref="J1840">SUMPRODUCT(([2]OUT_FinalEnergyCons!$B$4:$B$10000="var_cap")*1, (ISNUMBER(SEARCH("RH*-SHSOLBR",[2]OUT_FinalEnergyCons!$A$4:$A$10000)))*1,[2]OUT_FinalEnergyCons!H$4:H$10000)</f>
        <v>3.6524168088369099E-2</v>
      </c>
      <c r="K1840" s="1" cm="1">
        <f t="array" ref="K1840">SUMPRODUCT(([2]OUT_FinalEnergyCons!$B$4:$B$10000="var_cap")*1, (ISNUMBER(SEARCH("RH*-SHSOLBR",[2]OUT_FinalEnergyCons!$A$4:$A$10000)))*1,[2]OUT_FinalEnergyCons!I$4:I$10000)</f>
        <v>5.8225423980639325E-3</v>
      </c>
      <c r="L1840" s="1" cm="1">
        <f t="array" ref="L1840">SUMPRODUCT(([2]OUT_FinalEnergyCons!$B$4:$B$10000="var_cap")*1, (ISNUMBER(SEARCH("RH*-SHSOLBR",[2]OUT_FinalEnergyCons!$A$4:$A$10000)))*1,[2]OUT_FinalEnergyCons!J$4:J$10000)</f>
        <v>6.0454542649989633E-3</v>
      </c>
      <c r="N1840" s="1"/>
    </row>
    <row r="1841" spans="2:14" x14ac:dyDescent="0.35">
      <c r="B1841" s="5" t="str">
        <f t="shared" ref="B1841:C1841" si="1921">B1840</f>
        <v>SPS1</v>
      </c>
      <c r="C1841" s="5" t="str">
        <f t="shared" si="1921"/>
        <v>CH</v>
      </c>
      <c r="D1841" t="s">
        <v>1877</v>
      </c>
      <c r="E1841" t="str">
        <f t="shared" si="1900"/>
        <v>GWth/yr.</v>
      </c>
      <c r="F1841" s="1">
        <f>F1842</f>
        <v>0</v>
      </c>
      <c r="G1841" s="1">
        <f t="shared" ref="G1841:L1841" si="1922">G1842</f>
        <v>0</v>
      </c>
      <c r="H1841" s="1">
        <f t="shared" si="1922"/>
        <v>0</v>
      </c>
      <c r="I1841" s="1">
        <f t="shared" si="1922"/>
        <v>0</v>
      </c>
      <c r="J1841" s="1">
        <f t="shared" si="1922"/>
        <v>0</v>
      </c>
      <c r="K1841" s="1">
        <f t="shared" si="1922"/>
        <v>0</v>
      </c>
      <c r="L1841" s="1">
        <f t="shared" si="1922"/>
        <v>0</v>
      </c>
      <c r="N1841" s="1"/>
    </row>
    <row r="1842" spans="2:14" x14ac:dyDescent="0.35">
      <c r="B1842" s="5" t="str">
        <f t="shared" ref="B1842:C1842" si="1923">B1841</f>
        <v>SPS1</v>
      </c>
      <c r="C1842" s="5" t="str">
        <f t="shared" si="1923"/>
        <v>CH</v>
      </c>
      <c r="D1842" t="s">
        <v>1878</v>
      </c>
      <c r="E1842" t="str">
        <f t="shared" si="1900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4">B1842</f>
        <v>SPS1</v>
      </c>
      <c r="C1843" s="5" t="str">
        <f t="shared" si="1924"/>
        <v>CH</v>
      </c>
      <c r="D1843" t="s">
        <v>1879</v>
      </c>
      <c r="E1843" t="str">
        <f t="shared" si="1900"/>
        <v>GWth/yr.</v>
      </c>
      <c r="F1843" s="1">
        <f>SUM(F1844,F1847,F1849,F1852,F1854,F1856,F1858,F1860)</f>
        <v>1.8609827303746183</v>
      </c>
      <c r="G1843" s="1">
        <f t="shared" ref="G1843" si="1925">SUM(G1844,G1847,G1849,G1852,G1854,G1856,G1858,G1860)</f>
        <v>1.9970704651752189</v>
      </c>
      <c r="H1843" s="1">
        <f t="shared" ref="H1843" si="1926">SUM(H1844,H1847,H1849,H1852,H1854,H1856,H1858,H1860)</f>
        <v>2.0220672461017641</v>
      </c>
      <c r="I1843" s="1">
        <f t="shared" ref="I1843" si="1927">SUM(I1844,I1847,I1849,I1852,I1854,I1856,I1858,I1860)</f>
        <v>2.1896961559204677</v>
      </c>
      <c r="J1843" s="1">
        <f t="shared" ref="J1843" si="1928">SUM(J1844,J1847,J1849,J1852,J1854,J1856,J1858,J1860)</f>
        <v>1.7308033816659987</v>
      </c>
      <c r="K1843" s="1">
        <f t="shared" ref="K1843:L1843" si="1929">SUM(K1844,K1847,K1849,K1852,K1854,K1856,K1858,K1860)</f>
        <v>1.8570798438924119</v>
      </c>
      <c r="L1843" s="1">
        <f t="shared" si="1929"/>
        <v>2.1247346790671764</v>
      </c>
      <c r="N1843" s="1"/>
    </row>
    <row r="1844" spans="2:14" x14ac:dyDescent="0.35">
      <c r="B1844" s="5" t="str">
        <f t="shared" ref="B1844:C1844" si="1930">B1843</f>
        <v>SPS1</v>
      </c>
      <c r="C1844" s="5" t="str">
        <f t="shared" si="1930"/>
        <v>CH</v>
      </c>
      <c r="D1844" t="s">
        <v>1880</v>
      </c>
      <c r="E1844" t="str">
        <f t="shared" si="1900"/>
        <v>GWth/yr.</v>
      </c>
      <c r="F1844" s="1">
        <f>SUM(F1845:F1846)</f>
        <v>0.65092462185247379</v>
      </c>
      <c r="G1844" s="1">
        <f t="shared" ref="G1844" si="1931">SUM(G1845:G1846)</f>
        <v>0.71790873118811749</v>
      </c>
      <c r="H1844" s="1">
        <f t="shared" ref="H1844" si="1932">SUM(H1845:H1846)</f>
        <v>0.66598211832035736</v>
      </c>
      <c r="I1844" s="1">
        <f t="shared" ref="I1844" si="1933">SUM(I1845:I1846)</f>
        <v>0.74008813187277966</v>
      </c>
      <c r="J1844" s="1">
        <f t="shared" ref="J1844" si="1934">SUM(J1845:J1846)</f>
        <v>0.73825111584994141</v>
      </c>
      <c r="K1844" s="1">
        <f t="shared" ref="K1844:L1844" si="1935">SUM(K1845:K1846)</f>
        <v>0.8467130145899644</v>
      </c>
      <c r="L1844" s="1">
        <f t="shared" si="1935"/>
        <v>1.0606145938007299</v>
      </c>
      <c r="N1844" s="1"/>
    </row>
    <row r="1845" spans="2:14" x14ac:dyDescent="0.35">
      <c r="B1845" s="5" t="str">
        <f t="shared" ref="B1845:C1845" si="1936">B1844</f>
        <v>SPS1</v>
      </c>
      <c r="C1845" s="5" t="str">
        <f t="shared" si="1936"/>
        <v>CH</v>
      </c>
      <c r="D1845" t="s">
        <v>1881</v>
      </c>
      <c r="E1845" t="str">
        <f t="shared" si="1900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0.43757025245884718</v>
      </c>
      <c r="G1845" s="1" cm="1">
        <f t="array" ref="G1845">SUMPRODUCT(([1]OUT_FinalEnergyCons!$B$4:$B$10000="var_cap")*1,(ISNUMBER(SEARCH("RH*-WHELCBR",[1]OUT_FinalEnergyCons!$A$4:$A$10000)))*1,[1]OUT_FinalEnergyCons!E$4:E$10000)</f>
        <v>0.47178582009144521</v>
      </c>
      <c r="H1845" s="1" cm="1">
        <f t="array" ref="H1845">SUMPRODUCT(([1]OUT_FinalEnergyCons!$B$4:$B$10000="var_cap")*1,(ISNUMBER(SEARCH("RH*-WHELCBR",[1]OUT_FinalEnergyCons!$A$4:$A$10000)))*1,[1]OUT_FinalEnergyCons!F$4:F$10000)</f>
        <v>0.3522046534319126</v>
      </c>
      <c r="I1845" s="1" cm="1">
        <f t="array" ref="I1845">SUMPRODUCT(([1]OUT_FinalEnergyCons!$B$4:$B$10000="var_cap")*1,(ISNUMBER(SEARCH("RH*-WHELCBR",[1]OUT_FinalEnergyCons!$A$4:$A$10000)))*1,[1]OUT_FinalEnergyCons!G$4:G$10000)</f>
        <v>0.27520437112140278</v>
      </c>
      <c r="J1845" s="1" cm="1">
        <f t="array" ref="J1845">SUMPRODUCT(([2]OUT_FinalEnergyCons!$B$4:$B$10000="var_cap")*1,(ISNUMBER(SEARCH("RH*-WHELCBR",[2]OUT_FinalEnergyCons!$A$4:$A$10000)))*1,[2]OUT_FinalEnergyCons!H$4:H$10000)</f>
        <v>0.13585354081093962</v>
      </c>
      <c r="K1845" s="1" cm="1">
        <f t="array" ref="K1845">SUMPRODUCT(([2]OUT_FinalEnergyCons!$B$4:$B$10000="var_cap")*1,(ISNUMBER(SEARCH("RH*-WHELCBR",[2]OUT_FinalEnergyCons!$A$4:$A$10000)))*1,[2]OUT_FinalEnergyCons!I$4:I$10000)</f>
        <v>0.13172136807568893</v>
      </c>
      <c r="L1845" s="1" cm="1">
        <f t="array" ref="L1845">SUMPRODUCT(([2]OUT_FinalEnergyCons!$B$4:$B$10000="var_cap")*1,(ISNUMBER(SEARCH("RH*-WHELCBR",[2]OUT_FinalEnergyCons!$A$4:$A$10000)))*1,[2]OUT_FinalEnergyCons!J$4:J$10000)</f>
        <v>0.11593087664498301</v>
      </c>
      <c r="N1845" s="1"/>
    </row>
    <row r="1846" spans="2:14" x14ac:dyDescent="0.35">
      <c r="B1846" s="5" t="str">
        <f t="shared" ref="B1846:C1846" si="1937">B1845</f>
        <v>SPS1</v>
      </c>
      <c r="C1846" s="5" t="str">
        <f t="shared" si="1937"/>
        <v>CH</v>
      </c>
      <c r="D1846" t="s">
        <v>1882</v>
      </c>
      <c r="E1846" t="str">
        <f t="shared" si="1900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0.21335436939362662</v>
      </c>
      <c r="G1846" s="1" cm="1">
        <f t="array" ref="G1846">SUMPRODUCT(([1]OUT_FinalEnergyCons!$B$4:$B$10000="var_cap")*1,ISNUMBER(SEARCH("RH*-WHELCHP",[1]OUT_FinalEnergyCons!$A$4:$A$10000))*1,[1]OUT_FinalEnergyCons!E$4:E$10000)</f>
        <v>0.24612291109667225</v>
      </c>
      <c r="H1846" s="1" cm="1">
        <f t="array" ref="H1846">SUMPRODUCT(([1]OUT_FinalEnergyCons!$B$4:$B$10000="var_cap")*1,ISNUMBER(SEARCH("RH*-WHELCHP",[1]OUT_FinalEnergyCons!$A$4:$A$10000))*1,[1]OUT_FinalEnergyCons!F$4:F$10000)</f>
        <v>0.31377746488844471</v>
      </c>
      <c r="I1846" s="1" cm="1">
        <f t="array" ref="I1846">SUMPRODUCT(([1]OUT_FinalEnergyCons!$B$4:$B$10000="var_cap")*1,ISNUMBER(SEARCH("RH*-WHELCHP",[1]OUT_FinalEnergyCons!$A$4:$A$10000))*1,[1]OUT_FinalEnergyCons!G$4:G$10000)</f>
        <v>0.46488376075137688</v>
      </c>
      <c r="J1846" s="1" cm="1">
        <f t="array" ref="J1846">SUMPRODUCT(([2]OUT_FinalEnergyCons!$B$4:$B$10000="var_cap")*1,ISNUMBER(SEARCH("RH*-WHELCHP",[2]OUT_FinalEnergyCons!$A$4:$A$10000))*1,[2]OUT_FinalEnergyCons!H$4:H$10000)</f>
        <v>0.60239757503900182</v>
      </c>
      <c r="K1846" s="1" cm="1">
        <f t="array" ref="K1846">SUMPRODUCT(([2]OUT_FinalEnergyCons!$B$4:$B$10000="var_cap")*1,ISNUMBER(SEARCH("RH*-WHELCHP",[2]OUT_FinalEnergyCons!$A$4:$A$10000))*1,[2]OUT_FinalEnergyCons!I$4:I$10000)</f>
        <v>0.71499164651427549</v>
      </c>
      <c r="L1846" s="1" cm="1">
        <f t="array" ref="L1846">SUMPRODUCT(([2]OUT_FinalEnergyCons!$B$4:$B$10000="var_cap")*1,ISNUMBER(SEARCH("RH*-WHELCHP",[2]OUT_FinalEnergyCons!$A$4:$A$10000))*1,[2]OUT_FinalEnergyCons!J$4:J$10000)</f>
        <v>0.94468371715574684</v>
      </c>
      <c r="N1846" s="1"/>
    </row>
    <row r="1847" spans="2:14" x14ac:dyDescent="0.35">
      <c r="B1847" s="5" t="str">
        <f t="shared" ref="B1847:C1847" si="1938">B1846</f>
        <v>SPS1</v>
      </c>
      <c r="C1847" s="5" t="str">
        <f t="shared" si="1938"/>
        <v>CH</v>
      </c>
      <c r="D1847" t="s">
        <v>1883</v>
      </c>
      <c r="E1847" t="str">
        <f t="shared" si="1900"/>
        <v>GWth/yr.</v>
      </c>
      <c r="F1847" s="1">
        <f>F1848</f>
        <v>0.47738433216181703</v>
      </c>
      <c r="G1847" s="1">
        <f t="shared" ref="G1847" si="1939">G1848</f>
        <v>0.45689174870563454</v>
      </c>
      <c r="H1847" s="1">
        <f t="shared" ref="H1847" si="1940">H1848</f>
        <v>0.43902724164701568</v>
      </c>
      <c r="I1847" s="1">
        <f t="shared" ref="I1847" si="1941">I1848</f>
        <v>0.4390011972085186</v>
      </c>
      <c r="J1847" s="1">
        <f t="shared" ref="J1847" si="1942">J1848</f>
        <v>0.15391380114994549</v>
      </c>
      <c r="K1847" s="1">
        <f t="shared" ref="K1847:L1847" si="1943">K1848</f>
        <v>0.12216494554107822</v>
      </c>
      <c r="L1847" s="1">
        <f t="shared" si="1943"/>
        <v>7.204490157554852E-2</v>
      </c>
      <c r="N1847" s="1"/>
    </row>
    <row r="1848" spans="2:14" x14ac:dyDescent="0.35">
      <c r="B1848" s="5" t="str">
        <f t="shared" ref="B1848:C1848" si="1944">B1847</f>
        <v>SPS1</v>
      </c>
      <c r="C1848" s="5" t="str">
        <f t="shared" si="1944"/>
        <v>CH</v>
      </c>
      <c r="D1848" t="s">
        <v>1884</v>
      </c>
      <c r="E1848" t="str">
        <f t="shared" si="1900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0.45689174870563454</v>
      </c>
      <c r="H1848" s="1" cm="1">
        <f t="array" ref="H1848">SUMPRODUCT(([1]OUT_FinalEnergyCons!$B$4:$B$10000="var_cap")*1, (ISNUMBER(SEARCH("RH*-WHLFOBR",[1]OUT_FinalEnergyCons!$A$4:$A$10000)))*1,[1]OUT_FinalEnergyCons!F$4:F$10000)</f>
        <v>0.43902724164701568</v>
      </c>
      <c r="I1848" s="1" cm="1">
        <f t="array" ref="I1848">SUMPRODUCT(([1]OUT_FinalEnergyCons!$B$4:$B$10000="var_cap")*1, (ISNUMBER(SEARCH("RH*-WHLFOBR",[1]OUT_FinalEnergyCons!$A$4:$A$10000)))*1,[1]OUT_FinalEnergyCons!G$4:G$10000)</f>
        <v>0.4390011972085186</v>
      </c>
      <c r="J1848" s="1" cm="1">
        <f t="array" ref="J1848">SUMPRODUCT(([2]OUT_FinalEnergyCons!$B$4:$B$10000="var_cap")*1, (ISNUMBER(SEARCH("RH*-WHLFOBR",[2]OUT_FinalEnergyCons!$A$4:$A$10000)))*1,[2]OUT_FinalEnergyCons!H$4:H$10000)</f>
        <v>0.15391380114994549</v>
      </c>
      <c r="K1848" s="1" cm="1">
        <f t="array" ref="K1848">SUMPRODUCT(([2]OUT_FinalEnergyCons!$B$4:$B$10000="var_cap")*1, (ISNUMBER(SEARCH("RH*-WHLFOBR",[2]OUT_FinalEnergyCons!$A$4:$A$10000)))*1,[2]OUT_FinalEnergyCons!I$4:I$10000)</f>
        <v>0.12216494554107822</v>
      </c>
      <c r="L1848" s="1" cm="1">
        <f t="array" ref="L1848">SUMPRODUCT(([2]OUT_FinalEnergyCons!$B$4:$B$10000="var_cap")*1, (ISNUMBER(SEARCH("RH*-WHLFOBR",[2]OUT_FinalEnergyCons!$A$4:$A$10000)))*1,[2]OUT_FinalEnergyCons!J$4:J$10000)</f>
        <v>7.204490157554852E-2</v>
      </c>
      <c r="N1848" s="1"/>
    </row>
    <row r="1849" spans="2:14" x14ac:dyDescent="0.35">
      <c r="B1849" s="5" t="str">
        <f t="shared" ref="B1849:C1849" si="1945">B1848</f>
        <v>SPS1</v>
      </c>
      <c r="C1849" s="5" t="str">
        <f t="shared" si="1945"/>
        <v>CH</v>
      </c>
      <c r="D1849" t="s">
        <v>1885</v>
      </c>
      <c r="E1849" t="str">
        <f t="shared" si="1900"/>
        <v>GWth/yr.</v>
      </c>
      <c r="F1849" s="1">
        <f>SUM(F1850:F1851)</f>
        <v>0.43610075806793741</v>
      </c>
      <c r="G1849" s="1">
        <f t="shared" ref="G1849" si="1946">SUM(G1850:G1851)</f>
        <v>0.43609915298076712</v>
      </c>
      <c r="H1849" s="1">
        <f t="shared" ref="H1849" si="1947">SUM(H1850:H1851)</f>
        <v>0.49555683495669267</v>
      </c>
      <c r="I1849" s="1">
        <f t="shared" ref="I1849" si="1948">SUM(I1850:I1851)</f>
        <v>0.58120332014650855</v>
      </c>
      <c r="J1849" s="1">
        <f t="shared" ref="J1849" si="1949">SUM(J1850:J1851)</f>
        <v>0.47230854344974005</v>
      </c>
      <c r="K1849" s="1">
        <f t="shared" ref="K1849:L1849" si="1950">SUM(K1850:K1851)</f>
        <v>0.49587919706383843</v>
      </c>
      <c r="L1849" s="1">
        <f t="shared" si="1950"/>
        <v>0.54846111396428854</v>
      </c>
      <c r="N1849" s="1"/>
    </row>
    <row r="1850" spans="2:14" x14ac:dyDescent="0.35">
      <c r="B1850" s="5" t="str">
        <f t="shared" ref="B1850:C1850" si="1951">B1849</f>
        <v>SPS1</v>
      </c>
      <c r="C1850" s="5" t="str">
        <f t="shared" si="1951"/>
        <v>CH</v>
      </c>
      <c r="D1850" t="s">
        <v>1886</v>
      </c>
      <c r="E1850" t="str">
        <f t="shared" si="1900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0.43609917735318754</v>
      </c>
      <c r="H1850" s="1" cm="1">
        <f t="array" ref="H1850">SUMPRODUCT(([1]OUT_FinalEnergyCons!$B$4:$B$10000="var_cap")*1, (ISNUMBER(SEARCH("RH*-WHNGABR",[1]OUT_FinalEnergyCons!$A$4:$A$10000)))*1,[1]OUT_FinalEnergyCons!F$4:F$10000)</f>
        <v>0.43609735997989491</v>
      </c>
      <c r="I1850" s="1" cm="1">
        <f t="array" ref="I1850">SUMPRODUCT(([1]OUT_FinalEnergyCons!$B$4:$B$10000="var_cap")*1, (ISNUMBER(SEARCH("RH*-WHNGABR",[1]OUT_FinalEnergyCons!$A$4:$A$10000)))*1,[1]OUT_FinalEnergyCons!G$4:G$10000)</f>
        <v>0.43609639975367326</v>
      </c>
      <c r="J1850" s="1" cm="1">
        <f t="array" ref="J1850">SUMPRODUCT(([2]OUT_FinalEnergyCons!$B$4:$B$10000="var_cap")*1, (ISNUMBER(SEARCH("RH*-WHNGABR",[2]OUT_FinalEnergyCons!$A$4:$A$10000)))*1,[2]OUT_FinalEnergyCons!H$4:H$10000)</f>
        <v>0.24889942153611791</v>
      </c>
      <c r="K1850" s="1" cm="1">
        <f t="array" ref="K1850">SUMPRODUCT(([2]OUT_FinalEnergyCons!$B$4:$B$10000="var_cap")*1, (ISNUMBER(SEARCH("RH*-WHNGABR",[2]OUT_FinalEnergyCons!$A$4:$A$10000)))*1,[2]OUT_FinalEnergyCons!I$4:I$10000)</f>
        <v>0.2090522961050936</v>
      </c>
      <c r="L1850" s="1" cm="1">
        <f t="array" ref="L1850">SUMPRODUCT(([2]OUT_FinalEnergyCons!$B$4:$B$10000="var_cap")*1, (ISNUMBER(SEARCH("RH*-WHNGABR",[2]OUT_FinalEnergyCons!$A$4:$A$10000)))*1,[2]OUT_FinalEnergyCons!J$4:J$10000)</f>
        <v>0.13200200566853076</v>
      </c>
      <c r="N1850" s="1"/>
    </row>
    <row r="1851" spans="2:14" x14ac:dyDescent="0.35">
      <c r="B1851" s="5" t="str">
        <f t="shared" ref="B1851:C1851" si="1952">B1850</f>
        <v>SPS1</v>
      </c>
      <c r="C1851" s="5" t="str">
        <f t="shared" si="1952"/>
        <v>CH</v>
      </c>
      <c r="D1851" t="s">
        <v>1887</v>
      </c>
      <c r="E1851" t="str">
        <f t="shared" si="1900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-2.437242041447935E-8</v>
      </c>
      <c r="H1851" s="1" cm="1">
        <f t="array" ref="H1851">SUMPRODUCT(([1]OUT_FinalEnergyCons!$B$4:$B$10000="var_cap")*1,ISNUMBER(SEARCH("RH*-WHngahp",[1]OUT_FinalEnergyCons!$A$4:$A$10000))*1,[1]OUT_FinalEnergyCons!F$4:F$10000)</f>
        <v>5.945947497679778E-2</v>
      </c>
      <c r="I1851" s="1" cm="1">
        <f t="array" ref="I1851">SUMPRODUCT(([1]OUT_FinalEnergyCons!$B$4:$B$10000="var_cap")*1,ISNUMBER(SEARCH("RH*-WHngahp",[1]OUT_FinalEnergyCons!$A$4:$A$10000))*1,[1]OUT_FinalEnergyCons!G$4:G$10000)</f>
        <v>0.14510692039283529</v>
      </c>
      <c r="J1851" s="1" cm="1">
        <f t="array" ref="J1851">SUMPRODUCT(([2]OUT_FinalEnergyCons!$B$4:$B$10000="var_cap")*1,ISNUMBER(SEARCH("RH*-WHngahp",[2]OUT_FinalEnergyCons!$A$4:$A$10000))*1,[2]OUT_FinalEnergyCons!H$4:H$10000)</f>
        <v>0.22340912191362211</v>
      </c>
      <c r="K1851" s="1" cm="1">
        <f t="array" ref="K1851">SUMPRODUCT(([2]OUT_FinalEnergyCons!$B$4:$B$10000="var_cap")*1,ISNUMBER(SEARCH("RH*-WHngahp",[2]OUT_FinalEnergyCons!$A$4:$A$10000))*1,[2]OUT_FinalEnergyCons!I$4:I$10000)</f>
        <v>0.28682690095874486</v>
      </c>
      <c r="L1851" s="1" cm="1">
        <f t="array" ref="L1851">SUMPRODUCT(([2]OUT_FinalEnergyCons!$B$4:$B$10000="var_cap")*1,ISNUMBER(SEARCH("RH*-WHngahp",[2]OUT_FinalEnergyCons!$A$4:$A$10000))*1,[2]OUT_FinalEnergyCons!J$4:J$10000)</f>
        <v>0.41645910829575783</v>
      </c>
      <c r="N1851" s="1"/>
    </row>
    <row r="1852" spans="2:14" x14ac:dyDescent="0.35">
      <c r="B1852" s="5" t="str">
        <f t="shared" ref="B1852:C1852" si="1953">B1851</f>
        <v>SPS1</v>
      </c>
      <c r="C1852" s="5" t="str">
        <f t="shared" si="1953"/>
        <v>CH</v>
      </c>
      <c r="D1852" t="s">
        <v>1888</v>
      </c>
      <c r="E1852" t="str">
        <f t="shared" si="1900"/>
        <v>GWth/yr.</v>
      </c>
      <c r="F1852" s="1">
        <f>F1853</f>
        <v>0</v>
      </c>
      <c r="G1852" s="1">
        <f t="shared" ref="G1852" si="1954">G1853</f>
        <v>0</v>
      </c>
      <c r="H1852" s="1">
        <f t="shared" ref="H1852" si="1955">H1853</f>
        <v>0</v>
      </c>
      <c r="I1852" s="1">
        <f t="shared" ref="I1852" si="1956">I1853</f>
        <v>0</v>
      </c>
      <c r="J1852" s="1">
        <f t="shared" ref="J1852" si="1957">J1853</f>
        <v>0</v>
      </c>
      <c r="K1852" s="1">
        <f t="shared" ref="K1852:L1852" si="1958">K1853</f>
        <v>0</v>
      </c>
      <c r="L1852" s="1">
        <f t="shared" si="1958"/>
        <v>0</v>
      </c>
      <c r="N1852" s="1"/>
    </row>
    <row r="1853" spans="2:14" x14ac:dyDescent="0.35">
      <c r="B1853" s="5" t="str">
        <f t="shared" ref="B1853:C1853" si="1959">B1852</f>
        <v>SPS1</v>
      </c>
      <c r="C1853" s="5" t="str">
        <f t="shared" si="1959"/>
        <v>CH</v>
      </c>
      <c r="D1853" t="s">
        <v>1889</v>
      </c>
      <c r="E1853" t="str">
        <f t="shared" si="1900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60">B1853</f>
        <v>SPS1</v>
      </c>
      <c r="C1854" s="5" t="str">
        <f t="shared" si="1960"/>
        <v>CH</v>
      </c>
      <c r="D1854" t="s">
        <v>1890</v>
      </c>
      <c r="E1854" t="str">
        <f t="shared" si="1900"/>
        <v>GWth/yr.</v>
      </c>
      <c r="F1854" s="1">
        <f>F1855</f>
        <v>3.5322010722483803E-2</v>
      </c>
      <c r="G1854" s="1">
        <f t="shared" ref="G1854" si="1961">G1855</f>
        <v>4.0436141262843277E-2</v>
      </c>
      <c r="H1854" s="1">
        <f t="shared" ref="H1854" si="1962">H1855</f>
        <v>7.6684795814723108E-2</v>
      </c>
      <c r="I1854" s="1">
        <f t="shared" ref="I1854" si="1963">I1855</f>
        <v>8.458689794639683E-2</v>
      </c>
      <c r="J1854" s="1">
        <f t="shared" ref="J1854" si="1964">J1855</f>
        <v>8.4589111169322384E-2</v>
      </c>
      <c r="K1854" s="1">
        <f t="shared" ref="K1854:L1854" si="1965">K1855</f>
        <v>8.5719301088168304E-2</v>
      </c>
      <c r="L1854" s="1">
        <f t="shared" si="1965"/>
        <v>8.3684747702980067E-2</v>
      </c>
      <c r="N1854" s="1"/>
    </row>
    <row r="1855" spans="2:14" x14ac:dyDescent="0.35">
      <c r="B1855" s="5" t="str">
        <f t="shared" ref="B1855:C1855" si="1966">B1854</f>
        <v>SPS1</v>
      </c>
      <c r="C1855" s="5" t="str">
        <f t="shared" si="1966"/>
        <v>CH</v>
      </c>
      <c r="D1855" t="s">
        <v>1891</v>
      </c>
      <c r="E1855" t="str">
        <f t="shared" si="1900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4.0436141262843277E-2</v>
      </c>
      <c r="H1855" s="1" cm="1">
        <f t="array" ref="H1855">SUMPRODUCT(([1]OUT_FinalEnergyCons!$B$4:$B$10000="var_cap")*1, (ISNUMBER(SEARCH("RH*-WHWODBR",[1]OUT_FinalEnergyCons!$A$4:$A$10000)))*1,[1]OUT_FinalEnergyCons!F$4:F$10000)</f>
        <v>7.6684795814723108E-2</v>
      </c>
      <c r="I1855" s="1" cm="1">
        <f t="array" ref="I1855">SUMPRODUCT(([1]OUT_FinalEnergyCons!$B$4:$B$10000="var_cap")*1, (ISNUMBER(SEARCH("RH*-WHWODBR",[1]OUT_FinalEnergyCons!$A$4:$A$10000)))*1,[1]OUT_FinalEnergyCons!G$4:G$10000)</f>
        <v>8.458689794639683E-2</v>
      </c>
      <c r="J1855" s="1" cm="1">
        <f t="array" ref="J1855">SUMPRODUCT(([2]OUT_FinalEnergyCons!$B$4:$B$10000="var_cap")*1, (ISNUMBER(SEARCH("RH*-WHWODBR",[2]OUT_FinalEnergyCons!$A$4:$A$10000)))*1,[2]OUT_FinalEnergyCons!H$4:H$10000)</f>
        <v>8.4589111169322384E-2</v>
      </c>
      <c r="K1855" s="1" cm="1">
        <f t="array" ref="K1855">SUMPRODUCT(([2]OUT_FinalEnergyCons!$B$4:$B$10000="var_cap")*1, (ISNUMBER(SEARCH("RH*-WHWODBR",[2]OUT_FinalEnergyCons!$A$4:$A$10000)))*1,[2]OUT_FinalEnergyCons!I$4:I$10000)</f>
        <v>8.5719301088168304E-2</v>
      </c>
      <c r="L1855" s="1" cm="1">
        <f t="array" ref="L1855">SUMPRODUCT(([2]OUT_FinalEnergyCons!$B$4:$B$10000="var_cap")*1, (ISNUMBER(SEARCH("RH*-WHWODBR",[2]OUT_FinalEnergyCons!$A$4:$A$10000)))*1,[2]OUT_FinalEnergyCons!J$4:J$10000)</f>
        <v>8.3684747702980067E-2</v>
      </c>
      <c r="N1855" s="1"/>
    </row>
    <row r="1856" spans="2:14" x14ac:dyDescent="0.35">
      <c r="B1856" s="5" t="str">
        <f t="shared" ref="B1856:C1856" si="1967">B1855</f>
        <v>SPS1</v>
      </c>
      <c r="C1856" s="5" t="str">
        <f t="shared" si="1967"/>
        <v>CH</v>
      </c>
      <c r="D1856" t="s">
        <v>1892</v>
      </c>
      <c r="E1856" t="str">
        <f t="shared" si="1900"/>
        <v>GWth/yr.</v>
      </c>
      <c r="F1856" s="1">
        <f>F1857</f>
        <v>1.12410901121583E-2</v>
      </c>
      <c r="G1856" s="1">
        <f t="shared" ref="G1856" si="1968">G1857</f>
        <v>1.3191297702973838E-2</v>
      </c>
      <c r="H1856" s="1">
        <f t="shared" ref="H1856" si="1969">H1857</f>
        <v>1.2273591885311245E-2</v>
      </c>
      <c r="I1856" s="1">
        <f t="shared" ref="I1856" si="1970">I1857</f>
        <v>1.2273627151775995E-2</v>
      </c>
      <c r="J1856" s="1">
        <f t="shared" ref="J1856" si="1971">J1857</f>
        <v>1.2490768511259657E-2</v>
      </c>
      <c r="K1856" s="1">
        <f t="shared" ref="K1856:L1856" si="1972">K1857</f>
        <v>1.5249713001509905E-2</v>
      </c>
      <c r="L1856" s="1">
        <f t="shared" si="1972"/>
        <v>2.0926515201315578E-2</v>
      </c>
      <c r="N1856" s="1"/>
    </row>
    <row r="1857" spans="2:14" x14ac:dyDescent="0.35">
      <c r="B1857" s="5" t="str">
        <f t="shared" ref="B1857:C1857" si="1973">B1856</f>
        <v>SPS1</v>
      </c>
      <c r="C1857" s="5" t="str">
        <f t="shared" si="1973"/>
        <v>CH</v>
      </c>
      <c r="D1857" t="s">
        <v>1893</v>
      </c>
      <c r="E1857" t="str">
        <f t="shared" si="1900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1.3191297702973838E-2</v>
      </c>
      <c r="H1857" s="1" cm="1">
        <f t="array" ref="H1857">SUMPRODUCT(([1]OUT_FinalEnergyCons!$B$4:$B$10000="var_cap")*1, (ISNUMBER(SEARCH("RH*-WHPLTBR",[1]OUT_FinalEnergyCons!$A$4:$A$10000)))*1,[1]OUT_FinalEnergyCons!F$4:F$10000)</f>
        <v>1.2273591885311245E-2</v>
      </c>
      <c r="I1857" s="1" cm="1">
        <f t="array" ref="I1857">SUMPRODUCT(([1]OUT_FinalEnergyCons!$B$4:$B$10000="var_cap")*1, (ISNUMBER(SEARCH("RH*-WHPLTBR",[1]OUT_FinalEnergyCons!$A$4:$A$10000)))*1,[1]OUT_FinalEnergyCons!G$4:G$10000)</f>
        <v>1.2273627151775995E-2</v>
      </c>
      <c r="J1857" s="1" cm="1">
        <f t="array" ref="J1857">SUMPRODUCT(([2]OUT_FinalEnergyCons!$B$4:$B$10000="var_cap")*1, (ISNUMBER(SEARCH("RH*-WHPLTBR",[2]OUT_FinalEnergyCons!$A$4:$A$10000)))*1,[2]OUT_FinalEnergyCons!H$4:H$10000)</f>
        <v>1.2490768511259657E-2</v>
      </c>
      <c r="K1857" s="1" cm="1">
        <f t="array" ref="K1857">SUMPRODUCT(([2]OUT_FinalEnergyCons!$B$4:$B$10000="var_cap")*1, (ISNUMBER(SEARCH("RH*-WHPLTBR",[2]OUT_FinalEnergyCons!$A$4:$A$10000)))*1,[2]OUT_FinalEnergyCons!I$4:I$10000)</f>
        <v>1.5249713001509905E-2</v>
      </c>
      <c r="L1857" s="1" cm="1">
        <f t="array" ref="L1857">SUMPRODUCT(([2]OUT_FinalEnergyCons!$B$4:$B$10000="var_cap")*1, (ISNUMBER(SEARCH("RH*-WHPLTBR",[2]OUT_FinalEnergyCons!$A$4:$A$10000)))*1,[2]OUT_FinalEnergyCons!J$4:J$10000)</f>
        <v>2.0926515201315578E-2</v>
      </c>
      <c r="N1857" s="1"/>
    </row>
    <row r="1858" spans="2:14" x14ac:dyDescent="0.35">
      <c r="B1858" s="5" t="str">
        <f t="shared" ref="B1858:C1858" si="1974">B1857</f>
        <v>SPS1</v>
      </c>
      <c r="C1858" s="5" t="str">
        <f t="shared" si="1974"/>
        <v>CH</v>
      </c>
      <c r="D1858" t="s">
        <v>1894</v>
      </c>
      <c r="E1858" t="str">
        <f t="shared" si="1900"/>
        <v>GWth/yr.</v>
      </c>
      <c r="F1858" s="1">
        <f>F1859</f>
        <v>0.25000991745774798</v>
      </c>
      <c r="G1858" s="1">
        <f t="shared" ref="G1858" si="1975">G1859</f>
        <v>0.33254339333488253</v>
      </c>
      <c r="H1858" s="1">
        <f t="shared" ref="H1858" si="1976">H1859</f>
        <v>0.33254266347766398</v>
      </c>
      <c r="I1858" s="1">
        <f t="shared" ref="I1858" si="1977">I1859</f>
        <v>0.33254298159448803</v>
      </c>
      <c r="J1858" s="1">
        <f t="shared" ref="J1858" si="1978">J1859</f>
        <v>0.26925004153578957</v>
      </c>
      <c r="K1858" s="1">
        <f t="shared" ref="K1858:L1858" si="1979">K1859</f>
        <v>0.2913536726078525</v>
      </c>
      <c r="L1858" s="1">
        <f t="shared" si="1979"/>
        <v>0.33900280682231387</v>
      </c>
      <c r="N1858" s="1"/>
    </row>
    <row r="1859" spans="2:14" x14ac:dyDescent="0.35">
      <c r="B1859" s="5" t="str">
        <f t="shared" ref="B1859:C1859" si="1980">B1858</f>
        <v>SPS1</v>
      </c>
      <c r="C1859" s="5" t="str">
        <f t="shared" si="1980"/>
        <v>CH</v>
      </c>
      <c r="D1859" t="s">
        <v>1895</v>
      </c>
      <c r="E1859" t="str">
        <f t="shared" si="1900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0.33254339333488253</v>
      </c>
      <c r="H1859" s="1" cm="1">
        <f t="array" ref="H1859">SUMPRODUCT(([1]OUT_FinalEnergyCons!$B$4:$B$10000="var_cap")*1, (ISNUMBER(SEARCH("RH*-WHSOLBR",[1]OUT_FinalEnergyCons!$A$4:$A$10000)))*1,[1]OUT_FinalEnergyCons!F$4:F$10000)</f>
        <v>0.33254266347766398</v>
      </c>
      <c r="I1859" s="1" cm="1">
        <f t="array" ref="I1859">SUMPRODUCT(([1]OUT_FinalEnergyCons!$B$4:$B$10000="var_cap")*1, (ISNUMBER(SEARCH("RH*-WHSOLBR",[1]OUT_FinalEnergyCons!$A$4:$A$10000)))*1,[1]OUT_FinalEnergyCons!G$4:G$10000)</f>
        <v>0.33254298159448803</v>
      </c>
      <c r="J1859" s="1" cm="1">
        <f t="array" ref="J1859">SUMPRODUCT(([2]OUT_FinalEnergyCons!$B$4:$B$10000="var_cap")*1, (ISNUMBER(SEARCH("RH*-WHSOLBR",[2]OUT_FinalEnergyCons!$A$4:$A$10000)))*1,[2]OUT_FinalEnergyCons!H$4:H$10000)</f>
        <v>0.26925004153578957</v>
      </c>
      <c r="K1859" s="1" cm="1">
        <f t="array" ref="K1859">SUMPRODUCT(([2]OUT_FinalEnergyCons!$B$4:$B$10000="var_cap")*1, (ISNUMBER(SEARCH("RH*-WHSOLBR",[2]OUT_FinalEnergyCons!$A$4:$A$10000)))*1,[2]OUT_FinalEnergyCons!I$4:I$10000)</f>
        <v>0.2913536726078525</v>
      </c>
      <c r="L1859" s="1" cm="1">
        <f t="array" ref="L1859">SUMPRODUCT(([2]OUT_FinalEnergyCons!$B$4:$B$10000="var_cap")*1, (ISNUMBER(SEARCH("RH*-WHSOLBR",[2]OUT_FinalEnergyCons!$A$4:$A$10000)))*1,[2]OUT_FinalEnergyCons!J$4:J$10000)</f>
        <v>0.33900280682231387</v>
      </c>
      <c r="N1859" s="1"/>
    </row>
    <row r="1860" spans="2:14" x14ac:dyDescent="0.35">
      <c r="B1860" s="5" t="str">
        <f t="shared" ref="B1860:C1860" si="1981">B1859</f>
        <v>SPS1</v>
      </c>
      <c r="C1860" s="5" t="str">
        <f t="shared" si="1981"/>
        <v>CH</v>
      </c>
      <c r="D1860" t="s">
        <v>1896</v>
      </c>
      <c r="E1860" t="str">
        <f t="shared" si="1900"/>
        <v>GWth/yr.</v>
      </c>
      <c r="F1860" s="1">
        <f>F1861</f>
        <v>0</v>
      </c>
      <c r="G1860" s="1">
        <f t="shared" ref="G1860" si="1982">G1861</f>
        <v>0</v>
      </c>
      <c r="H1860" s="1">
        <f t="shared" ref="H1860" si="1983">H1861</f>
        <v>0</v>
      </c>
      <c r="I1860" s="1">
        <f t="shared" ref="I1860" si="1984">I1861</f>
        <v>0</v>
      </c>
      <c r="J1860" s="1">
        <f t="shared" ref="J1860" si="1985">J1861</f>
        <v>0</v>
      </c>
      <c r="K1860" s="1">
        <f t="shared" ref="K1860:L1860" si="1986">K1861</f>
        <v>0</v>
      </c>
      <c r="L1860" s="1">
        <f t="shared" si="1986"/>
        <v>0</v>
      </c>
      <c r="N1860" s="1"/>
    </row>
    <row r="1861" spans="2:14" x14ac:dyDescent="0.35">
      <c r="B1861" s="5" t="str">
        <f t="shared" ref="B1861:C1865" si="1987">B1860</f>
        <v>SPS1</v>
      </c>
      <c r="C1861" s="5" t="str">
        <f t="shared" si="1987"/>
        <v>CH</v>
      </c>
      <c r="D1861" t="s">
        <v>1897</v>
      </c>
      <c r="E1861" t="str">
        <f t="shared" si="1900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7"/>
        <v>SPS1</v>
      </c>
      <c r="C1862" s="9" t="str">
        <f t="shared" si="1987"/>
        <v>CH</v>
      </c>
      <c r="D1862" s="2" t="s">
        <v>1899</v>
      </c>
      <c r="E1862" s="9" t="str">
        <f t="shared" si="1900"/>
        <v>GWth/yr.</v>
      </c>
      <c r="F1862" s="17">
        <f>SUM(F1863,F1866,F1869,F1873,F1875,F1877,F1879,F1881,F1883)</f>
        <v>3.6004276378893376</v>
      </c>
      <c r="G1862" s="17">
        <f t="shared" ref="G1862:K1862" si="1988">SUM(G1863,G1866,G1869,G1873,G1875,G1877,G1879,G1881,G1883)</f>
        <v>3.8312145711530818</v>
      </c>
      <c r="H1862" s="17">
        <f t="shared" si="1988"/>
        <v>3.7612820134501201</v>
      </c>
      <c r="I1862" s="17">
        <f t="shared" si="1988"/>
        <v>3.7647598594960785</v>
      </c>
      <c r="J1862" s="17">
        <f t="shared" si="1988"/>
        <v>3.4117164281841026</v>
      </c>
      <c r="K1862" s="17">
        <f t="shared" si="1988"/>
        <v>3.4308443441187055</v>
      </c>
      <c r="L1862" s="17">
        <f t="shared" ref="L1862" si="1989">SUM(L1863,L1866,L1869,L1873,L1875,L1877,L1879,L1881,L1883)</f>
        <v>3.4311285056746148</v>
      </c>
      <c r="N1862" s="1"/>
    </row>
    <row r="1863" spans="2:14" x14ac:dyDescent="0.35">
      <c r="B1863" s="5" t="str">
        <f>B1862</f>
        <v>SPS1</v>
      </c>
      <c r="C1863" s="5" t="str">
        <f t="shared" si="1987"/>
        <v>CH</v>
      </c>
      <c r="D1863" t="s">
        <v>2093</v>
      </c>
      <c r="E1863" t="str">
        <f t="shared" si="1900"/>
        <v>GWth/yr.</v>
      </c>
      <c r="F1863" s="18">
        <f>SUM(F1864:F1865)</f>
        <v>0.61671309762324311</v>
      </c>
      <c r="G1863" s="18">
        <f t="shared" ref="G1863:K1863" si="1990">SUM(G1864:G1865)</f>
        <v>0.83541612344427818</v>
      </c>
      <c r="H1863" s="18">
        <f t="shared" si="1990"/>
        <v>0.86650650193540435</v>
      </c>
      <c r="I1863" s="18">
        <f t="shared" si="1990"/>
        <v>1.0794233678247269</v>
      </c>
      <c r="J1863" s="18">
        <f t="shared" si="1990"/>
        <v>1.1214706304626036</v>
      </c>
      <c r="K1863" s="18">
        <f t="shared" si="1990"/>
        <v>1.1737150974337869</v>
      </c>
      <c r="L1863" s="18">
        <f t="shared" ref="L1863" si="1991">SUM(L1864:L1865)</f>
        <v>1.1897504797504497</v>
      </c>
      <c r="N1863" s="1"/>
    </row>
    <row r="1864" spans="2:14" x14ac:dyDescent="0.35">
      <c r="B1864" s="5" t="str">
        <f t="shared" ref="B1864:B1865" si="1992">B1863</f>
        <v>SPS1</v>
      </c>
      <c r="C1864" s="5" t="str">
        <f t="shared" si="1987"/>
        <v>CH</v>
      </c>
      <c r="D1864" t="s">
        <v>2094</v>
      </c>
      <c r="E1864" t="str">
        <f t="shared" si="1900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0.75919905571104529</v>
      </c>
      <c r="H1864" s="1" cm="1">
        <f t="array" ref="H1864">SUMPRODUCT(([1]OUT_FinalEnergyCons!$B$4:$B$10000="Var_cap")*1,  (ISNUMBER(SEARCH("ITOT-SWHELCBR",[1]OUT_FinalEnergyCons!$A$4:$A$10000)))*1,[1]OUT_FinalEnergyCons!F$4:F$10000)</f>
        <v>0.7902778294682764</v>
      </c>
      <c r="I1864" s="1" cm="1">
        <f t="array" ref="I1864">SUMPRODUCT(([1]OUT_FinalEnergyCons!$B$4:$B$10000="Var_cap")*1,  (ISNUMBER(SEARCH("ITOT-SWHELCBR",[1]OUT_FinalEnergyCons!$A$4:$A$10000)))*1,[1]OUT_FinalEnergyCons!G$4:G$10000)</f>
        <v>0.86267652377694004</v>
      </c>
      <c r="J1864" s="1" cm="1">
        <f t="array" ref="J1864">SUMPRODUCT(([2]OUT_FinalEnergyCons!$B$4:$B$10000="Var_cap")*1,  (ISNUMBER(SEARCH("ITOT-SWHELCBR",[2]OUT_FinalEnergyCons!$A$4:$A$10000)))*1,[2]OUT_FinalEnergyCons!H$4:H$10000)</f>
        <v>0.84595231328537612</v>
      </c>
      <c r="K1864" s="1" cm="1">
        <f t="array" ref="K1864">SUMPRODUCT(([2]OUT_FinalEnergyCons!$B$4:$B$10000="Var_cap")*1,  (ISNUMBER(SEARCH("ITOT-SWHELCBR",[2]OUT_FinalEnergyCons!$A$4:$A$10000)))*1,[2]OUT_FinalEnergyCons!I$4:I$10000)</f>
        <v>0.89578830734127446</v>
      </c>
      <c r="L1864" s="1" cm="1">
        <f t="array" ref="L1864">SUMPRODUCT(([2]OUT_FinalEnergyCons!$B$4:$B$10000="Var_cap")*1,  (ISNUMBER(SEARCH("ITOT-SWHELCBR",[2]OUT_FinalEnergyCons!$A$4:$A$10000)))*1,[2]OUT_FinalEnergyCons!J$4:J$10000)</f>
        <v>0.91335898761625844</v>
      </c>
      <c r="N1864" s="1"/>
    </row>
    <row r="1865" spans="2:14" x14ac:dyDescent="0.35">
      <c r="B1865" s="5" t="str">
        <f t="shared" si="1992"/>
        <v>SPS1</v>
      </c>
      <c r="C1865" s="5" t="str">
        <f t="shared" si="1987"/>
        <v>CH</v>
      </c>
      <c r="D1865" t="s">
        <v>2095</v>
      </c>
      <c r="E1865" t="str">
        <f t="shared" si="1900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7.6217067733232891E-2</v>
      </c>
      <c r="H1865" s="1" cm="1">
        <f t="array" ref="H1865">SUMPRODUCT(([1]OUT_FinalEnergyCons!$B$4:$B$10000="Var_cap")*1,  (ISNUMBER(SEARCH("ITOT-SWHELCHP",[1]OUT_FinalEnergyCons!$A$4:$A$10000)))*1,[1]OUT_FinalEnergyCons!F$4:F$10000)</f>
        <v>7.6228672467127959E-2</v>
      </c>
      <c r="I1865" s="1" cm="1">
        <f t="array" ref="I1865">SUMPRODUCT(([1]OUT_FinalEnergyCons!$B$4:$B$10000="Var_cap")*1,  (ISNUMBER(SEARCH("ITOT-SWHELCHP",[1]OUT_FinalEnergyCons!$A$4:$A$10000)))*1,[1]OUT_FinalEnergyCons!G$4:G$10000)</f>
        <v>0.2167468440477868</v>
      </c>
      <c r="J1865" s="1" cm="1">
        <f t="array" ref="J1865">SUMPRODUCT(([2]OUT_FinalEnergyCons!$B$4:$B$10000="Var_cap")*1,  (ISNUMBER(SEARCH("ITOT-SWHELCHP",[2]OUT_FinalEnergyCons!$A$4:$A$10000)))*1,[2]OUT_FinalEnergyCons!H$4:H$10000)</f>
        <v>0.27551831717722752</v>
      </c>
      <c r="K1865" s="1" cm="1">
        <f t="array" ref="K1865">SUMPRODUCT(([2]OUT_FinalEnergyCons!$B$4:$B$10000="Var_cap")*1,  (ISNUMBER(SEARCH("ITOT-SWHELCHP",[2]OUT_FinalEnergyCons!$A$4:$A$10000)))*1,[2]OUT_FinalEnergyCons!I$4:I$10000)</f>
        <v>0.27792679009251242</v>
      </c>
      <c r="L1865" s="1" cm="1">
        <f t="array" ref="L1865">SUMPRODUCT(([2]OUT_FinalEnergyCons!$B$4:$B$10000="Var_cap")*1,  (ISNUMBER(SEARCH("ITOT-SWHELCHP",[2]OUT_FinalEnergyCons!$A$4:$A$10000)))*1,[2]OUT_FinalEnergyCons!J$4:J$10000)</f>
        <v>0.27639149213419123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900"/>
        <v>GWth/yr.</v>
      </c>
      <c r="F1866" s="18">
        <f>SUM(F1867:F1868)</f>
        <v>0.47734833193996801</v>
      </c>
      <c r="G1866" s="18">
        <f t="shared" ref="G1866:K1866" si="1993">SUM(G1867:G1868)</f>
        <v>0.47741424151182821</v>
      </c>
      <c r="H1866" s="18">
        <f t="shared" si="1993"/>
        <v>0.3764690061591866</v>
      </c>
      <c r="I1866" s="18">
        <f t="shared" si="1993"/>
        <v>0.37640424204516376</v>
      </c>
      <c r="J1866" s="18">
        <f t="shared" si="1993"/>
        <v>0.26505274633172549</v>
      </c>
      <c r="K1866" s="18">
        <f t="shared" si="1993"/>
        <v>0.16745124282884863</v>
      </c>
      <c r="L1866" s="18">
        <f t="shared" ref="L1866" si="1994">SUM(L1867:L1868)</f>
        <v>2.2923754217396106E-2</v>
      </c>
      <c r="N1866" s="1"/>
    </row>
    <row r="1867" spans="2:14" x14ac:dyDescent="0.35">
      <c r="B1867" s="5" t="str">
        <f t="shared" ref="B1867:B1884" si="1995">B1866</f>
        <v>SPS1</v>
      </c>
      <c r="C1867" s="5" t="str">
        <f t="shared" ref="C1867:C1884" si="1996">C1866</f>
        <v>CH</v>
      </c>
      <c r="D1867" t="s">
        <v>2097</v>
      </c>
      <c r="E1867" t="str">
        <f t="shared" si="1900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0.37639449521587892</v>
      </c>
      <c r="H1867" s="1" cm="1">
        <f t="array" ref="H1867">SUMPRODUCT(([1]OUT_FinalEnergyCons!$B$4:$B$10000="Var_cap")*1,  (ISNUMBER(SEARCH("ITOT-SWHLFOBR",[1]OUT_FinalEnergyCons!$A$4:$A$10000)))*1,[1]OUT_FinalEnergyCons!F$4:F$10000)</f>
        <v>0.37639311158111793</v>
      </c>
      <c r="I1867" s="1" cm="1">
        <f t="array" ref="I1867">SUMPRODUCT(([1]OUT_FinalEnergyCons!$B$4:$B$10000="Var_cap")*1,  (ISNUMBER(SEARCH("ITOT-SWHLFOBR",[1]OUT_FinalEnergyCons!$A$4:$A$10000)))*1,[1]OUT_FinalEnergyCons!G$4:G$10000)</f>
        <v>0.37639012471599614</v>
      </c>
      <c r="J1867" s="1" cm="1">
        <f t="array" ref="J1867">SUMPRODUCT(([2]OUT_FinalEnergyCons!$B$4:$B$10000="Var_cap")*1,  (ISNUMBER(SEARCH("ITOT-SWHLFOBR",[2]OUT_FinalEnergyCons!$A$4:$A$10000)))*1,[2]OUT_FinalEnergyCons!H$4:H$10000)</f>
        <v>0.26504013114066277</v>
      </c>
      <c r="K1867" s="1" cm="1">
        <f t="array" ref="K1867">SUMPRODUCT(([2]OUT_FinalEnergyCons!$B$4:$B$10000="Var_cap")*1,  (ISNUMBER(SEARCH("ITOT-SWHLFOBR",[2]OUT_FinalEnergyCons!$A$4:$A$10000)))*1,[2]OUT_FinalEnergyCons!I$4:I$10000)</f>
        <v>0.16744517187690561</v>
      </c>
      <c r="L1867" s="1" cm="1">
        <f t="array" ref="L1867">SUMPRODUCT(([2]OUT_FinalEnergyCons!$B$4:$B$10000="Var_cap")*1,  (ISNUMBER(SEARCH("ITOT-SWHLFOBR",[2]OUT_FinalEnergyCons!$A$4:$A$10000)))*1,[2]OUT_FinalEnergyCons!J$4:J$10000)</f>
        <v>2.2923754217396106E-2</v>
      </c>
      <c r="N1867" s="1"/>
    </row>
    <row r="1868" spans="2:14" x14ac:dyDescent="0.35">
      <c r="B1868" s="5" t="str">
        <f t="shared" si="1995"/>
        <v>SPS1</v>
      </c>
      <c r="C1868" s="5" t="str">
        <f t="shared" si="1996"/>
        <v>CH</v>
      </c>
      <c r="D1868" t="s">
        <v>2098</v>
      </c>
      <c r="E1868" t="str">
        <f t="shared" si="1900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0.10101289230913602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0.10101974629594926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7.5894578068669283E-5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1.4117329167617765E-5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1.2615191062693987E-5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6.0709519430158402E-6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5"/>
        <v>SPS1</v>
      </c>
      <c r="C1869" s="5" t="str">
        <f t="shared" si="1996"/>
        <v>CH</v>
      </c>
      <c r="D1869" t="s">
        <v>2099</v>
      </c>
      <c r="E1869" t="str">
        <f t="shared" si="1900"/>
        <v>GWth/yr.</v>
      </c>
      <c r="F1869" s="18">
        <f>SUM(F1870:F1871)</f>
        <v>1.556581895256</v>
      </c>
      <c r="G1869" s="18">
        <f t="shared" ref="G1869:K1869" si="1997">SUM(G1870:G1871)</f>
        <v>1.5580707700267578</v>
      </c>
      <c r="H1869" s="18">
        <f t="shared" si="1997"/>
        <v>1.5580869055470659</v>
      </c>
      <c r="I1869" s="18">
        <f t="shared" si="1997"/>
        <v>1.5580753413635751</v>
      </c>
      <c r="J1869" s="18">
        <f t="shared" si="1997"/>
        <v>1.3202144715270798</v>
      </c>
      <c r="K1869" s="18">
        <f t="shared" si="1997"/>
        <v>1.3827322069826447</v>
      </c>
      <c r="L1869" s="18">
        <f t="shared" ref="L1869" si="1998">SUM(L1870:L1871)</f>
        <v>1.4073729911974828</v>
      </c>
      <c r="N1869" s="1"/>
    </row>
    <row r="1870" spans="2:14" x14ac:dyDescent="0.35">
      <c r="B1870" s="5" t="str">
        <f t="shared" si="1995"/>
        <v>SPS1</v>
      </c>
      <c r="C1870" s="5" t="str">
        <f t="shared" si="1996"/>
        <v>CH</v>
      </c>
      <c r="D1870" t="s">
        <v>2100</v>
      </c>
      <c r="E1870" t="str">
        <f t="shared" si="1900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1.5565834352700809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1.5565800858625014</v>
      </c>
      <c r="I1870" s="1" cm="1">
        <f t="array" ref="I1870">SUMPRODUCT(([1]OUT_FinalEnergyCons!$B$4:$B$10000="Var_cap")*1,  (ISNUMBER(SEARCH("ITOT-SWHNGA*BR",[1]OUT_FinalEnergyCons!$A$4:$A$10000)))*1,[1]OUT_FinalEnergyCons!G$4:G$10000)</f>
        <v>1.5565644600770945</v>
      </c>
      <c r="J1870" s="1" cm="1">
        <f t="array" ref="J1870">SUMPRODUCT(([2]OUT_FinalEnergyCons!$B$4:$B$10000="Var_cap")*1,  (ISNUMBER(SEARCH("ITOT-SWHNGA*BR",[2]OUT_FinalEnergyCons!$A$4:$A$10000)))*1,[2]OUT_FinalEnergyCons!H$4:H$10000)</f>
        <v>1.3189650175848249</v>
      </c>
      <c r="K1870" s="1" cm="1">
        <f t="array" ref="K1870">SUMPRODUCT(([2]OUT_FinalEnergyCons!$B$4:$B$10000="Var_cap")*1,  (ISNUMBER(SEARCH("ITOT-SWHNGA*BR",[2]OUT_FinalEnergyCons!$A$4:$A$10000)))*1,[2]OUT_FinalEnergyCons!I$4:I$10000)</f>
        <v>1.3824618015013512</v>
      </c>
      <c r="L1870" s="1" cm="1">
        <f t="array" ref="L1870">SUMPRODUCT(([2]OUT_FinalEnergyCons!$B$4:$B$10000="Var_cap")*1,  (ISNUMBER(SEARCH("ITOT-SWHNGA*BR",[2]OUT_FinalEnergyCons!$A$4:$A$10000)))*1,[2]OUT_FinalEnergyCons!J$4:J$10000)</f>
        <v>1.4071097515979172</v>
      </c>
      <c r="N1870" s="1"/>
    </row>
    <row r="1871" spans="2:14" x14ac:dyDescent="0.35">
      <c r="B1871" s="5" t="str">
        <f t="shared" si="1995"/>
        <v>SPS1</v>
      </c>
      <c r="C1871" s="5" t="str">
        <f t="shared" si="1996"/>
        <v>CH</v>
      </c>
      <c r="D1871" t="s">
        <v>2101</v>
      </c>
      <c r="E1871" t="str">
        <f t="shared" si="1900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1.48733475667684E-3</v>
      </c>
      <c r="H1871" s="1" cm="1">
        <f t="array" ref="H1871">SUMPRODUCT(([1]OUT_FinalEnergyCons!$B$4:$B$10000="Var_cap")*1,  (ISNUMBER(SEARCH("ITOT-SWHNGAHP",[1]OUT_FinalEnergyCons!$A$4:$A$10000)))*1,[1]OUT_FinalEnergyCons!F$4:F$10000)</f>
        <v>1.5068196845644504E-3</v>
      </c>
      <c r="I1871" s="1" cm="1">
        <f t="array" ref="I1871">SUMPRODUCT(([1]OUT_FinalEnergyCons!$B$4:$B$10000="Var_cap")*1,  (ISNUMBER(SEARCH("ITOT-SWHNGAHP",[1]OUT_FinalEnergyCons!$A$4:$A$10000)))*1,[1]OUT_FinalEnergyCons!G$4:G$10000)</f>
        <v>1.5108812864804953E-3</v>
      </c>
      <c r="J1871" s="1" cm="1">
        <f t="array" ref="J1871">SUMPRODUCT(([2]OUT_FinalEnergyCons!$B$4:$B$10000="Var_cap")*1,  (ISNUMBER(SEARCH("ITOT-SWHNGAHP",[2]OUT_FinalEnergyCons!$A$4:$A$10000)))*1,[2]OUT_FinalEnergyCons!H$4:H$10000)</f>
        <v>1.2494539422549609E-3</v>
      </c>
      <c r="K1871" s="1" cm="1">
        <f t="array" ref="K1871">SUMPRODUCT(([2]OUT_FinalEnergyCons!$B$4:$B$10000="Var_cap")*1,  (ISNUMBER(SEARCH("ITOT-SWHNGAHP",[2]OUT_FinalEnergyCons!$A$4:$A$10000)))*1,[2]OUT_FinalEnergyCons!I$4:I$10000)</f>
        <v>2.7040548129350482E-4</v>
      </c>
      <c r="L1871" s="1" cm="1">
        <f t="array" ref="L1871">SUMPRODUCT(([2]OUT_FinalEnergyCons!$B$4:$B$10000="Var_cap")*1,  (ISNUMBER(SEARCH("ITOT-SWHNGAHP",[2]OUT_FinalEnergyCons!$A$4:$A$10000)))*1,[2]OUT_FinalEnergyCons!J$4:J$10000)</f>
        <v>2.6323959956555239E-4</v>
      </c>
      <c r="N1871" s="1"/>
    </row>
    <row r="1872" spans="2:14" x14ac:dyDescent="0.35">
      <c r="B1872" s="5" t="str">
        <f t="shared" si="1995"/>
        <v>SPS1</v>
      </c>
      <c r="C1872" s="5" t="str">
        <f t="shared" si="1996"/>
        <v>CH</v>
      </c>
      <c r="D1872" t="s">
        <v>2102</v>
      </c>
      <c r="E1872" t="str">
        <f t="shared" si="1900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3.3907692496632343E-2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7.2826284531967017E-2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0.17965215013179478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0.42229639631647142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0.40466244283025166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0.37925843397835579</v>
      </c>
      <c r="N1872" s="1"/>
    </row>
    <row r="1873" spans="2:14" x14ac:dyDescent="0.35">
      <c r="B1873" s="5" t="str">
        <f t="shared" si="1995"/>
        <v>SPS1</v>
      </c>
      <c r="C1873" s="5" t="str">
        <f t="shared" si="1996"/>
        <v>CH</v>
      </c>
      <c r="D1873" t="s">
        <v>2103</v>
      </c>
      <c r="E1873" t="str">
        <f t="shared" si="1900"/>
        <v>GWth/yr.</v>
      </c>
      <c r="F1873" s="1">
        <f>F1874</f>
        <v>0.26172155007150499</v>
      </c>
      <c r="G1873" s="1">
        <f t="shared" ref="G1873:L1873" si="1999">G1874</f>
        <v>0.20944603034844286</v>
      </c>
      <c r="H1873" s="1">
        <f t="shared" si="1999"/>
        <v>0.2093658534928686</v>
      </c>
      <c r="I1873" s="1">
        <f t="shared" si="1999"/>
        <v>1.5132060937783631E-5</v>
      </c>
      <c r="J1873" s="1">
        <f t="shared" si="1999"/>
        <v>1.1597239369554035E-5</v>
      </c>
      <c r="K1873" s="1">
        <f t="shared" si="1999"/>
        <v>4.8614359873562798E-6</v>
      </c>
      <c r="L1873" s="1">
        <f t="shared" si="1999"/>
        <v>1.8159771231495029E-5</v>
      </c>
      <c r="N1873" s="1"/>
    </row>
    <row r="1874" spans="2:14" x14ac:dyDescent="0.35">
      <c r="B1874" s="5" t="str">
        <f t="shared" si="1995"/>
        <v>SPS1</v>
      </c>
      <c r="C1874" s="5" t="str">
        <f t="shared" si="1996"/>
        <v>CH</v>
      </c>
      <c r="D1874" t="s">
        <v>2104</v>
      </c>
      <c r="E1874" t="str">
        <f t="shared" si="1900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0.20944603034844286</v>
      </c>
      <c r="H1874" s="1" cm="1">
        <f t="array" ref="H1874">SUMPRODUCT(([1]OUT_FinalEnergyCons!$B$4:$B$10000="Var_cap")*1,  (ISNUMBER(SEARCH("ITOT-SWHCOA*BR",[1]OUT_FinalEnergyCons!$A$4:$A$10000)))*1,[1]OUT_FinalEnergyCons!F$4:F$10000)</f>
        <v>0.2093658534928686</v>
      </c>
      <c r="I1874" s="1" cm="1">
        <f t="array" ref="I1874">SUMPRODUCT(([1]OUT_FinalEnergyCons!$B$4:$B$10000="Var_cap")*1,  (ISNUMBER(SEARCH("ITOT-SWHCOA*BR",[1]OUT_FinalEnergyCons!$A$4:$A$10000)))*1,[1]OUT_FinalEnergyCons!G$4:G$10000)</f>
        <v>1.5132060937783631E-5</v>
      </c>
      <c r="J1874" s="1" cm="1">
        <f t="array" ref="J1874">SUMPRODUCT(([2]OUT_FinalEnergyCons!$B$4:$B$10000="Var_cap")*1,  (ISNUMBER(SEARCH("ITOT-SWHCOA*BR",[2]OUT_FinalEnergyCons!$A$4:$A$10000)))*1,[2]OUT_FinalEnergyCons!H$4:H$10000)</f>
        <v>1.1597239369554035E-5</v>
      </c>
      <c r="K1874" s="1" cm="1">
        <f t="array" ref="K1874">SUMPRODUCT(([2]OUT_FinalEnergyCons!$B$4:$B$10000="Var_cap")*1,  (ISNUMBER(SEARCH("ITOT-SWHCOA*BR",[2]OUT_FinalEnergyCons!$A$4:$A$10000)))*1,[2]OUT_FinalEnergyCons!I$4:I$10000)</f>
        <v>4.8614359873562798E-6</v>
      </c>
      <c r="L1874" s="1" cm="1">
        <f t="array" ref="L1874">SUMPRODUCT(([2]OUT_FinalEnergyCons!$B$4:$B$10000="Var_cap")*1,  (ISNUMBER(SEARCH("ITOT-SWHCOA*BR",[2]OUT_FinalEnergyCons!$A$4:$A$10000)))*1,[2]OUT_FinalEnergyCons!J$4:J$10000)</f>
        <v>1.8159771231495029E-5</v>
      </c>
      <c r="N1874" s="1"/>
    </row>
    <row r="1875" spans="2:14" x14ac:dyDescent="0.35">
      <c r="B1875" s="5" t="str">
        <f t="shared" si="1995"/>
        <v>SPS1</v>
      </c>
      <c r="C1875" s="5" t="str">
        <f t="shared" si="1996"/>
        <v>CH</v>
      </c>
      <c r="D1875" t="s">
        <v>2105</v>
      </c>
      <c r="E1875" t="str">
        <f t="shared" si="1900"/>
        <v>GWth/yr.</v>
      </c>
      <c r="F1875" s="1">
        <f>F1876</f>
        <v>0.28883369534761499</v>
      </c>
      <c r="G1875" s="1">
        <f t="shared" ref="G1875:L1875" si="2000">G1876</f>
        <v>0.34092610984297234</v>
      </c>
      <c r="H1875" s="1">
        <f t="shared" si="2000"/>
        <v>0.34091870631716675</v>
      </c>
      <c r="I1875" s="1">
        <f t="shared" si="2000"/>
        <v>0.34091596818875736</v>
      </c>
      <c r="J1875" s="1">
        <f t="shared" si="2000"/>
        <v>0.33676310112927449</v>
      </c>
      <c r="K1875" s="1">
        <f t="shared" si="2000"/>
        <v>0.34042394043369029</v>
      </c>
      <c r="L1875" s="1">
        <f t="shared" si="2000"/>
        <v>0.37971696397767635</v>
      </c>
      <c r="N1875" s="1"/>
    </row>
    <row r="1876" spans="2:14" x14ac:dyDescent="0.35">
      <c r="B1876" s="5" t="str">
        <f t="shared" si="1995"/>
        <v>SPS1</v>
      </c>
      <c r="C1876" s="5" t="str">
        <f t="shared" si="1996"/>
        <v>CH</v>
      </c>
      <c r="D1876" t="s">
        <v>2106</v>
      </c>
      <c r="E1876" t="str">
        <f t="shared" si="1900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0.34092610984297234</v>
      </c>
      <c r="H1876" s="1" cm="1">
        <f t="array" ref="H1876">SUMPRODUCT(([1]OUT_FinalEnergyCons!$B$4:$B$10000="Var_cap")*1,  (ISNUMBER(SEARCH("ITOT-SWHWOD*BR",[1]OUT_FinalEnergyCons!$A$4:$A$10000)))*1,[1]OUT_FinalEnergyCons!F$4:F$10000)</f>
        <v>0.34091870631716675</v>
      </c>
      <c r="I1876" s="1" cm="1">
        <f t="array" ref="I1876">SUMPRODUCT(([1]OUT_FinalEnergyCons!$B$4:$B$10000="Var_cap")*1,  (ISNUMBER(SEARCH("ITOT-SWHWOD*BR",[1]OUT_FinalEnergyCons!$A$4:$A$10000)))*1,[1]OUT_FinalEnergyCons!G$4:G$10000)</f>
        <v>0.34091596818875736</v>
      </c>
      <c r="J1876" s="1" cm="1">
        <f t="array" ref="J1876">SUMPRODUCT(([2]OUT_FinalEnergyCons!$B$4:$B$10000="Var_cap")*1,  (ISNUMBER(SEARCH("ITOT-SWHWOD*BR",[2]OUT_FinalEnergyCons!$A$4:$A$10000)))*1,[2]OUT_FinalEnergyCons!H$4:H$10000)</f>
        <v>0.33676310112927449</v>
      </c>
      <c r="K1876" s="1" cm="1">
        <f t="array" ref="K1876">SUMPRODUCT(([2]OUT_FinalEnergyCons!$B$4:$B$10000="Var_cap")*1,  (ISNUMBER(SEARCH("ITOT-SWHWOD*BR",[2]OUT_FinalEnergyCons!$A$4:$A$10000)))*1,[2]OUT_FinalEnergyCons!I$4:I$10000)</f>
        <v>0.34042394043369029</v>
      </c>
      <c r="L1876" s="1" cm="1">
        <f t="array" ref="L1876">SUMPRODUCT(([2]OUT_FinalEnergyCons!$B$4:$B$10000="Var_cap")*1,  (ISNUMBER(SEARCH("ITOT-SWHWOD*BR",[2]OUT_FinalEnergyCons!$A$4:$A$10000)))*1,[2]OUT_FinalEnergyCons!J$4:J$10000)</f>
        <v>0.37971696397767635</v>
      </c>
      <c r="N1876" s="1"/>
    </row>
    <row r="1877" spans="2:14" x14ac:dyDescent="0.35">
      <c r="B1877" s="5" t="str">
        <f t="shared" si="1995"/>
        <v>SPS1</v>
      </c>
      <c r="C1877" s="5" t="str">
        <f t="shared" si="1996"/>
        <v>CH</v>
      </c>
      <c r="D1877" t="s">
        <v>2107</v>
      </c>
      <c r="E1877" t="str">
        <f t="shared" si="1900"/>
        <v>GWth/yr.</v>
      </c>
      <c r="F1877" s="1">
        <f>F1878</f>
        <v>2.9860759506449799E-2</v>
      </c>
      <c r="G1877" s="1">
        <f t="shared" ref="G1877:L1877" si="2001">G1878</f>
        <v>3.7977316746688361E-2</v>
      </c>
      <c r="H1877" s="1">
        <f t="shared" si="2001"/>
        <v>3.7975553659435418E-2</v>
      </c>
      <c r="I1877" s="1">
        <f t="shared" si="2001"/>
        <v>3.7971415541529441E-2</v>
      </c>
      <c r="J1877" s="1">
        <f t="shared" si="2001"/>
        <v>4.0201666272201168E-2</v>
      </c>
      <c r="K1877" s="1">
        <f t="shared" si="2001"/>
        <v>4.0827233906445277E-2</v>
      </c>
      <c r="L1877" s="1">
        <f t="shared" si="2001"/>
        <v>4.0677544713036674E-2</v>
      </c>
      <c r="N1877" s="1"/>
    </row>
    <row r="1878" spans="2:14" x14ac:dyDescent="0.35">
      <c r="B1878" s="5" t="str">
        <f t="shared" si="1995"/>
        <v>SPS1</v>
      </c>
      <c r="C1878" s="5" t="str">
        <f t="shared" si="1996"/>
        <v>CH</v>
      </c>
      <c r="D1878" t="s">
        <v>2108</v>
      </c>
      <c r="E1878" t="str">
        <f t="shared" si="1900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3.7977316746688361E-2</v>
      </c>
      <c r="H1878" s="1" cm="1">
        <f t="array" ref="H1878">SUMPRODUCT(([1]OUT_FinalEnergyCons!$B$4:$B$10000="Var_cap")*1,  (ISNUMBER(SEARCH("ITOT-SWHPLT*BR",[1]OUT_FinalEnergyCons!$A$4:$A$10000)))*1,[1]OUT_FinalEnergyCons!F$4:F$10000)</f>
        <v>3.7975553659435418E-2</v>
      </c>
      <c r="I1878" s="1" cm="1">
        <f t="array" ref="I1878">SUMPRODUCT(([1]OUT_FinalEnergyCons!$B$4:$B$10000="Var_cap")*1,  (ISNUMBER(SEARCH("ITOT-SWHPLT*BR",[1]OUT_FinalEnergyCons!$A$4:$A$10000)))*1,[1]OUT_FinalEnergyCons!G$4:G$10000)</f>
        <v>3.7971415541529441E-2</v>
      </c>
      <c r="J1878" s="1" cm="1">
        <f t="array" ref="J1878">SUMPRODUCT(([2]OUT_FinalEnergyCons!$B$4:$B$10000="Var_cap")*1,  (ISNUMBER(SEARCH("ITOT-SWHPLT*BR",[2]OUT_FinalEnergyCons!$A$4:$A$10000)))*1,[2]OUT_FinalEnergyCons!H$4:H$10000)</f>
        <v>4.0201666272201168E-2</v>
      </c>
      <c r="K1878" s="1" cm="1">
        <f t="array" ref="K1878">SUMPRODUCT(([2]OUT_FinalEnergyCons!$B$4:$B$10000="Var_cap")*1,  (ISNUMBER(SEARCH("ITOT-SWHPLT*BR",[2]OUT_FinalEnergyCons!$A$4:$A$10000)))*1,[2]OUT_FinalEnergyCons!I$4:I$10000)</f>
        <v>4.0827233906445277E-2</v>
      </c>
      <c r="L1878" s="1" cm="1">
        <f t="array" ref="L1878">SUMPRODUCT(([2]OUT_FinalEnergyCons!$B$4:$B$10000="Var_cap")*1,  (ISNUMBER(SEARCH("ITOT-SWHPLT*BR",[2]OUT_FinalEnergyCons!$A$4:$A$10000)))*1,[2]OUT_FinalEnergyCons!J$4:J$10000)</f>
        <v>4.0677544713036674E-2</v>
      </c>
      <c r="N1878" s="1"/>
    </row>
    <row r="1879" spans="2:14" x14ac:dyDescent="0.35">
      <c r="B1879" s="5" t="str">
        <f t="shared" si="1995"/>
        <v>SPS1</v>
      </c>
      <c r="C1879" s="5" t="str">
        <f t="shared" si="1996"/>
        <v>CH</v>
      </c>
      <c r="D1879" t="s">
        <v>2109</v>
      </c>
      <c r="E1879" t="str">
        <f t="shared" si="1900"/>
        <v>GWth/yr.</v>
      </c>
      <c r="F1879" s="1">
        <f>F1880</f>
        <v>0.35954682816669398</v>
      </c>
      <c r="G1879" s="1">
        <f t="shared" ref="G1879:L1879" si="2002">G1880</f>
        <v>0.35954187196553883</v>
      </c>
      <c r="H1879" s="1">
        <f t="shared" si="2002"/>
        <v>0.35953735699452749</v>
      </c>
      <c r="I1879" s="1">
        <f t="shared" si="2002"/>
        <v>0.35953224111943305</v>
      </c>
      <c r="J1879" s="1">
        <f t="shared" si="2002"/>
        <v>0.31522891466565178</v>
      </c>
      <c r="K1879" s="1">
        <f t="shared" si="2002"/>
        <v>0.31292142703265879</v>
      </c>
      <c r="L1879" s="1">
        <f t="shared" si="2002"/>
        <v>0.36462873838191878</v>
      </c>
      <c r="N1879" s="1"/>
    </row>
    <row r="1880" spans="2:14" x14ac:dyDescent="0.35">
      <c r="B1880" s="5" t="str">
        <f t="shared" si="1995"/>
        <v>SPS1</v>
      </c>
      <c r="C1880" s="5" t="str">
        <f t="shared" si="1996"/>
        <v>CH</v>
      </c>
      <c r="D1880" t="s">
        <v>2110</v>
      </c>
      <c r="E1880" t="str">
        <f t="shared" si="1900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0.35954187196553883</v>
      </c>
      <c r="H1880" s="1" cm="1">
        <f t="array" ref="H1880">SUMPRODUCT(([1]OUT_FinalEnergyCons!$B$4:$B$10000="Var_cap")*1,  (ISNUMBER(SEARCH("ITOT-SWHWST*BR",[1]OUT_FinalEnergyCons!$A$4:$A$10000)))*1,[1]OUT_FinalEnergyCons!F$4:F$10000)</f>
        <v>0.35953735699452749</v>
      </c>
      <c r="I1880" s="1" cm="1">
        <f t="array" ref="I1880">SUMPRODUCT(([1]OUT_FinalEnergyCons!$B$4:$B$10000="Var_cap")*1,  (ISNUMBER(SEARCH("ITOT-SWHWST*BR",[1]OUT_FinalEnergyCons!$A$4:$A$10000)))*1,[1]OUT_FinalEnergyCons!G$4:G$10000)</f>
        <v>0.35953224111943305</v>
      </c>
      <c r="J1880" s="1" cm="1">
        <f t="array" ref="J1880">SUMPRODUCT(([2]OUT_FinalEnergyCons!$B$4:$B$10000="Var_cap")*1,  (ISNUMBER(SEARCH("ITOT-SWHWST*BR",[2]OUT_FinalEnergyCons!$A$4:$A$10000)))*1,[2]OUT_FinalEnergyCons!H$4:H$10000)</f>
        <v>0.31522891466565178</v>
      </c>
      <c r="K1880" s="1" cm="1">
        <f t="array" ref="K1880">SUMPRODUCT(([2]OUT_FinalEnergyCons!$B$4:$B$10000="Var_cap")*1,  (ISNUMBER(SEARCH("ITOT-SWHWST*BR",[2]OUT_FinalEnergyCons!$A$4:$A$10000)))*1,[2]OUT_FinalEnergyCons!I$4:I$10000)</f>
        <v>0.31292142703265879</v>
      </c>
      <c r="L1880" s="1" cm="1">
        <f t="array" ref="L1880">SUMPRODUCT(([2]OUT_FinalEnergyCons!$B$4:$B$10000="Var_cap")*1,  (ISNUMBER(SEARCH("ITOT-SWHWST*BR",[2]OUT_FinalEnergyCons!$A$4:$A$10000)))*1,[2]OUT_FinalEnergyCons!J$4:J$10000)</f>
        <v>0.36462873838191878</v>
      </c>
      <c r="N1880" s="1"/>
    </row>
    <row r="1881" spans="2:14" x14ac:dyDescent="0.35">
      <c r="B1881" s="5" t="str">
        <f t="shared" si="1995"/>
        <v>SPS1</v>
      </c>
      <c r="C1881" s="5" t="str">
        <f t="shared" si="1996"/>
        <v>CH</v>
      </c>
      <c r="D1881" t="s">
        <v>2111</v>
      </c>
      <c r="E1881" t="str">
        <f t="shared" si="1900"/>
        <v>GWth/yr.</v>
      </c>
      <c r="F1881" s="1">
        <f>F1882</f>
        <v>9.8214799778629808E-3</v>
      </c>
      <c r="G1881" s="1">
        <f t="shared" ref="G1881:L1881" si="2003">G1882</f>
        <v>1.2422107266575371E-2</v>
      </c>
      <c r="H1881" s="1">
        <f t="shared" si="2003"/>
        <v>1.242212934446517E-2</v>
      </c>
      <c r="I1881" s="1">
        <f t="shared" si="2003"/>
        <v>1.2422151351954881E-2</v>
      </c>
      <c r="J1881" s="1">
        <f t="shared" si="2003"/>
        <v>1.241633488706999E-2</v>
      </c>
      <c r="K1881" s="1">
        <f t="shared" si="2003"/>
        <v>1.2415758271883501E-2</v>
      </c>
      <c r="L1881" s="1">
        <f t="shared" si="2003"/>
        <v>1.2415237084561E-2</v>
      </c>
      <c r="N1881" s="1"/>
    </row>
    <row r="1882" spans="2:14" x14ac:dyDescent="0.35">
      <c r="B1882" s="5" t="str">
        <f t="shared" si="1995"/>
        <v>SPS1</v>
      </c>
      <c r="C1882" s="5" t="str">
        <f t="shared" si="1996"/>
        <v>CH</v>
      </c>
      <c r="D1882" t="s">
        <v>2112</v>
      </c>
      <c r="E1882" t="str">
        <f t="shared" si="1900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1.2422107266575371E-2</v>
      </c>
      <c r="H1882" s="1" cm="1">
        <f t="array" ref="H1882">SUMPRODUCT(([1]OUT_FinalEnergyCons!$B$4:$B$10000="Var_cap")*1, (ISNUMBER(SEARCH("ITOT-SWHSOLBR",[1]OUT_FinalEnergyCons!$A$4:$A$10000)))*1,[1]OUT_FinalEnergyCons!F$4:F$10000)</f>
        <v>1.242212934446517E-2</v>
      </c>
      <c r="I1882" s="1" cm="1">
        <f t="array" ref="I1882">SUMPRODUCT(([1]OUT_FinalEnergyCons!$B$4:$B$10000="Var_cap")*1, (ISNUMBER(SEARCH("ITOT-SWHSOLBR",[1]OUT_FinalEnergyCons!$A$4:$A$10000)))*1,[1]OUT_FinalEnergyCons!G$4:G$10000)</f>
        <v>1.2422151351954881E-2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1.241633488706999E-2</v>
      </c>
      <c r="K1882" s="1" cm="1">
        <f t="array" ref="K1882">SUMPRODUCT(([2]OUT_FinalEnergyCons!$B$4:$B$10000="Var_cap")*1, (ISNUMBER(SEARCH("ITOT-SWHSOLBR",[2]OUT_FinalEnergyCons!$A$4:$A$10000)))*1,[2]OUT_FinalEnergyCons!I$4:I$10000)</f>
        <v>1.2415758271883501E-2</v>
      </c>
      <c r="L1882" s="1" cm="1">
        <f t="array" ref="L1882">SUMPRODUCT(([2]OUT_FinalEnergyCons!$B$4:$B$10000="Var_cap")*1, (ISNUMBER(SEARCH("ITOT-SWHSOLBR",[2]OUT_FinalEnergyCons!$A$4:$A$10000)))*1,[2]OUT_FinalEnergyCons!J$4:J$10000)</f>
        <v>1.2415237084561E-2</v>
      </c>
      <c r="N1882" s="1"/>
    </row>
    <row r="1883" spans="2:14" x14ac:dyDescent="0.35">
      <c r="B1883" s="5" t="str">
        <f t="shared" si="1995"/>
        <v>SPS1</v>
      </c>
      <c r="C1883" s="5" t="str">
        <f t="shared" si="1996"/>
        <v>CH</v>
      </c>
      <c r="D1883" t="s">
        <v>2113</v>
      </c>
      <c r="E1883" t="str">
        <f t="shared" si="1900"/>
        <v>GWth/yr.</v>
      </c>
      <c r="F1883" s="1">
        <f>F1884</f>
        <v>0</v>
      </c>
      <c r="G1883" s="1">
        <f t="shared" ref="G1883:L1883" si="2004">G1884</f>
        <v>0</v>
      </c>
      <c r="H1883" s="1">
        <f t="shared" si="2004"/>
        <v>0</v>
      </c>
      <c r="I1883" s="1">
        <f t="shared" si="2004"/>
        <v>0</v>
      </c>
      <c r="J1883" s="1">
        <f t="shared" si="2004"/>
        <v>3.5696566912611584E-4</v>
      </c>
      <c r="K1883" s="1">
        <f t="shared" si="2004"/>
        <v>3.5257579275953596E-4</v>
      </c>
      <c r="L1883" s="1">
        <f t="shared" si="2004"/>
        <v>1.3624636580861356E-2</v>
      </c>
      <c r="N1883" s="1"/>
    </row>
    <row r="1884" spans="2:14" x14ac:dyDescent="0.35">
      <c r="B1884" s="5" t="str">
        <f t="shared" si="1995"/>
        <v>SPS1</v>
      </c>
      <c r="C1884" s="5" t="str">
        <f t="shared" si="1996"/>
        <v>CH</v>
      </c>
      <c r="D1884" t="s">
        <v>2114</v>
      </c>
      <c r="E1884" t="str">
        <f t="shared" si="1900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3.5696566912611584E-4</v>
      </c>
      <c r="K1884" s="1" cm="1">
        <f t="array" ref="K1884">SUMPRODUCT(([2]OUT_FinalEnergyCons!$B$4:$B$10000="Var_cap")*1, (ISNUMBER(SEARCH("ITOT-SWHH2BR",[2]OUT_FinalEnergyCons!$A$4:$A$10000)))*1,[2]OUT_FinalEnergyCons!I$4:I$10000)</f>
        <v>3.5257579275953596E-4</v>
      </c>
      <c r="L1884" s="1" cm="1">
        <f t="array" ref="L1884">SUMPRODUCT(([2]OUT_FinalEnergyCons!$B$4:$B$10000="Var_cap")*1, (ISNUMBER(SEARCH("ITOT-SWHH2BR",[2]OUT_FinalEnergyCons!$A$4:$A$10000)))*1,[2]OUT_FinalEnergyCons!J$4:J$10000)</f>
        <v>1.3624636580861356E-2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900"/>
        <v>GWth/yr.</v>
      </c>
      <c r="F1885" s="17">
        <f>SUM(F1886,F1889,F1891,F1895,F1897,F1899,F1901)</f>
        <v>6.1442000469184386</v>
      </c>
      <c r="G1885" s="17">
        <f t="shared" ref="G1885:K1885" si="2005">SUM(G1886,G1889,G1891,G1895,G1897,G1899,G1901)</f>
        <v>6.0519360010656582</v>
      </c>
      <c r="H1885" s="17">
        <f t="shared" si="2005"/>
        <v>6.0785339391885795</v>
      </c>
      <c r="I1885" s="17">
        <f t="shared" si="2005"/>
        <v>6.3343280740719443</v>
      </c>
      <c r="J1885" s="17">
        <f t="shared" si="2005"/>
        <v>4.5635130113217537</v>
      </c>
      <c r="K1885" s="17">
        <f t="shared" si="2005"/>
        <v>4.5575062704874121</v>
      </c>
      <c r="L1885" s="17">
        <f t="shared" ref="L1885" si="2006">SUM(L1886,L1889,L1891,L1895,L1897,L1899,L1901)</f>
        <v>4.583216043222853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900"/>
        <v>GWth/yr.</v>
      </c>
      <c r="F1886" s="1">
        <f>SUM(F1887:F1888)</f>
        <v>0.61560571432644751</v>
      </c>
      <c r="G1886" s="1">
        <f t="shared" ref="G1886:K1886" si="2007">SUM(G1887:G1888)</f>
        <v>0.50786212746464654</v>
      </c>
      <c r="H1886" s="1">
        <f t="shared" si="2007"/>
        <v>0.50413497087816062</v>
      </c>
      <c r="I1886" s="1">
        <f t="shared" si="2007"/>
        <v>0.6260651041127131</v>
      </c>
      <c r="J1886" s="1">
        <f t="shared" si="2007"/>
        <v>0.77297664662802223</v>
      </c>
      <c r="K1886" s="1">
        <f t="shared" si="2007"/>
        <v>0.93095929427255342</v>
      </c>
      <c r="L1886" s="1">
        <f t="shared" ref="L1886" si="2008">SUM(L1887:L1888)</f>
        <v>1.2505066002761196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900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0.18498837532796614</v>
      </c>
      <c r="G1887" s="1" cm="1">
        <f t="array" ref="G1887">SUMPRODUCT(([1]OUT_FinalEnergyCons!$B$4:$B$10000="Var_cap")*1, (ISNUMBER(SEARCH("SCOM-SHELCBR",[1]OUT_FinalEnergyCons!$A$4:$A$10000)))*1,[1]OUT_FinalEnergyCons!E$4:E$10000)</f>
        <v>7.7245436761137196E-2</v>
      </c>
      <c r="H1887" s="1" cm="1">
        <f t="array" ref="H1887">SUMPRODUCT(([1]OUT_FinalEnergyCons!$B$4:$B$10000="Var_cap")*1, (ISNUMBER(SEARCH("SCOM-SHELCBR",[1]OUT_FinalEnergyCons!$A$4:$A$10000)))*1,[1]OUT_FinalEnergyCons!F$4:F$10000)</f>
        <v>7.3518152965600755E-2</v>
      </c>
      <c r="I1887" s="1" cm="1">
        <f t="array" ref="I1887">SUMPRODUCT(([1]OUT_FinalEnergyCons!$B$4:$B$10000="Var_cap")*1, (ISNUMBER(SEARCH("SCOM-SHELCBR",[1]OUT_FinalEnergyCons!$A$4:$A$10000)))*1,[1]OUT_FinalEnergyCons!G$4:G$10000)</f>
        <v>4.5402731544790992E-2</v>
      </c>
      <c r="J1887" s="1" cm="1">
        <f t="array" ref="J1887">SUMPRODUCT(([2]OUT_FinalEnergyCons!$B$4:$B$10000="Var_cap")*1, (ISNUMBER(SEARCH("SCOM-SHELCBR",[2]OUT_FinalEnergyCons!$A$4:$A$10000)))*1,[2]OUT_FinalEnergyCons!H$4:H$10000)</f>
        <v>2.4610089289260895E-2</v>
      </c>
      <c r="K1887" s="1" cm="1">
        <f t="array" ref="K1887">SUMPRODUCT(([2]OUT_FinalEnergyCons!$B$4:$B$10000="Var_cap")*1, (ISNUMBER(SEARCH("SCOM-SHELCBR",[2]OUT_FinalEnergyCons!$A$4:$A$10000)))*1,[2]OUT_FinalEnergyCons!I$4:I$10000)</f>
        <v>2.3267334423690372E-2</v>
      </c>
      <c r="L1887" s="1" cm="1">
        <f t="array" ref="L1887">SUMPRODUCT(([2]OUT_FinalEnergyCons!$B$4:$B$10000="Var_cap")*1, (ISNUMBER(SEARCH("SCOM-SHELCBR",[2]OUT_FinalEnergyCons!$A$4:$A$10000)))*1,[2]OUT_FinalEnergyCons!J$4:J$10000)</f>
        <v>1.551798262606338E-2</v>
      </c>
      <c r="N1887" s="1"/>
    </row>
    <row r="1888" spans="2:14" x14ac:dyDescent="0.35">
      <c r="B1888" s="5" t="str">
        <f t="shared" ref="B1888:C1888" si="2009">B1887</f>
        <v>SPS1</v>
      </c>
      <c r="C1888" s="5" t="str">
        <f t="shared" si="2009"/>
        <v>CH</v>
      </c>
      <c r="D1888" t="s">
        <v>1903</v>
      </c>
      <c r="E1888" t="str">
        <f t="shared" si="1900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0.43061733899848142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0.43061669070350939</v>
      </c>
      <c r="H1888" s="1" cm="1">
        <f t="array" ref="H1888">SUMPRODUCT(([1]OUT_FinalEnergyCons!$B$4:$B$10000="Var_cap")*1, (ISNUMBER(SEARCH("SCOM-SHELCHP",[1]OUT_FinalEnergyCons!$A$4:$A$10000)))*1,[1]OUT_FinalEnergyCons!F$4:F$10000)</f>
        <v>0.43061681791255985</v>
      </c>
      <c r="I1888" s="1" cm="1">
        <f t="array" ref="I1888">SUMPRODUCT(([1]OUT_FinalEnergyCons!$B$4:$B$10000="Var_cap")*1, (ISNUMBER(SEARCH("SCOM-SHELCHP",[1]OUT_FinalEnergyCons!$A$4:$A$10000)))*1,[1]OUT_FinalEnergyCons!G$4:G$10000)</f>
        <v>0.58066237256792208</v>
      </c>
      <c r="J1888" s="1" cm="1">
        <f t="array" ref="J1888">SUMPRODUCT(([2]OUT_FinalEnergyCons!$B$4:$B$10000="Var_cap")*1, (ISNUMBER(SEARCH("SCOM-SHELCHP",[2]OUT_FinalEnergyCons!$A$4:$A$10000)))*1,[2]OUT_FinalEnergyCons!H$4:H$10000)</f>
        <v>0.74836655733876134</v>
      </c>
      <c r="K1888" s="1" cm="1">
        <f t="array" ref="K1888">SUMPRODUCT(([2]OUT_FinalEnergyCons!$B$4:$B$10000="Var_cap")*1, (ISNUMBER(SEARCH("SCOM-SHELCHP",[2]OUT_FinalEnergyCons!$A$4:$A$10000)))*1,[2]OUT_FinalEnergyCons!I$4:I$10000)</f>
        <v>0.90769195984886308</v>
      </c>
      <c r="L1888" s="1" cm="1">
        <f t="array" ref="L1888">SUMPRODUCT(([2]OUT_FinalEnergyCons!$B$4:$B$10000="Var_cap")*1, (ISNUMBER(SEARCH("SCOM-SHELCHP",[2]OUT_FinalEnergyCons!$A$4:$A$10000)))*1,[2]OUT_FinalEnergyCons!J$4:J$10000)</f>
        <v>1.2349886176500562</v>
      </c>
      <c r="N1888" s="1"/>
    </row>
    <row r="1889" spans="2:14" x14ac:dyDescent="0.35">
      <c r="B1889" s="5" t="str">
        <f t="shared" ref="B1889:C1889" si="2010">B1888</f>
        <v>SPS1</v>
      </c>
      <c r="C1889" s="5" t="str">
        <f t="shared" si="2010"/>
        <v>CH</v>
      </c>
      <c r="D1889" t="s">
        <v>1904</v>
      </c>
      <c r="E1889" t="str">
        <f t="shared" si="1900"/>
        <v>GWth/yr.</v>
      </c>
      <c r="F1889" s="1">
        <f>F1890</f>
        <v>1.9285738602854512</v>
      </c>
      <c r="G1889" s="1">
        <f t="shared" ref="G1889:L1889" si="2011">G1890</f>
        <v>1.8575079408170125</v>
      </c>
      <c r="H1889" s="1">
        <f t="shared" si="2011"/>
        <v>1.8575017232625175</v>
      </c>
      <c r="I1889" s="1">
        <f t="shared" si="2011"/>
        <v>1.8574993702730802</v>
      </c>
      <c r="J1889" s="1">
        <f t="shared" si="2011"/>
        <v>0.96057494406427801</v>
      </c>
      <c r="K1889" s="1">
        <f t="shared" si="2011"/>
        <v>0.7747300495906928</v>
      </c>
      <c r="L1889" s="1">
        <f t="shared" si="2011"/>
        <v>0.42285438746808668</v>
      </c>
      <c r="N1889" s="1"/>
    </row>
    <row r="1890" spans="2:14" x14ac:dyDescent="0.35">
      <c r="B1890" s="5" t="str">
        <f t="shared" ref="B1890:C1890" si="2012">B1889</f>
        <v>SPS1</v>
      </c>
      <c r="C1890" s="5" t="str">
        <f t="shared" si="2012"/>
        <v>CH</v>
      </c>
      <c r="D1890" t="s">
        <v>1905</v>
      </c>
      <c r="E1890" t="str">
        <f t="shared" ref="E1890:E1902" si="2013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1.9285738602854512</v>
      </c>
      <c r="G1890" s="1" cm="1">
        <f t="array" ref="G1890">SUMPRODUCT(([1]OUT_FinalEnergyCons!$B$4:$B$10000="Var_cap")*1,(ISNUMBER(SEARCH("SCOM-SHLFOBR",[1]OUT_FinalEnergyCons!$A$4:$A$10000)))*1,[1]OUT_FinalEnergyCons!E$4:E$10000)</f>
        <v>1.8575079408170125</v>
      </c>
      <c r="H1890" s="1" cm="1">
        <f t="array" ref="H1890">SUMPRODUCT(([1]OUT_FinalEnergyCons!$B$4:$B$10000="Var_cap")*1,(ISNUMBER(SEARCH("SCOM-SHLFOBR",[1]OUT_FinalEnergyCons!$A$4:$A$10000)))*1,[1]OUT_FinalEnergyCons!F$4:F$10000)</f>
        <v>1.8575017232625175</v>
      </c>
      <c r="I1890" s="1" cm="1">
        <f t="array" ref="I1890">SUMPRODUCT(([1]OUT_FinalEnergyCons!$B$4:$B$10000="Var_cap")*1,(ISNUMBER(SEARCH("SCOM-SHLFOBR",[1]OUT_FinalEnergyCons!$A$4:$A$10000)))*1,[1]OUT_FinalEnergyCons!G$4:G$10000)</f>
        <v>1.8574993702730802</v>
      </c>
      <c r="J1890" s="1" cm="1">
        <f t="array" ref="J1890">SUMPRODUCT(([2]OUT_FinalEnergyCons!$B$4:$B$10000="Var_cap")*1,(ISNUMBER(SEARCH("SCOM-SHLFOBR",[2]OUT_FinalEnergyCons!$A$4:$A$10000)))*1,[2]OUT_FinalEnergyCons!H$4:H$10000)</f>
        <v>0.96057494406427801</v>
      </c>
      <c r="K1890" s="1" cm="1">
        <f t="array" ref="K1890">SUMPRODUCT(([2]OUT_FinalEnergyCons!$B$4:$B$10000="Var_cap")*1,(ISNUMBER(SEARCH("SCOM-SHLFOBR",[2]OUT_FinalEnergyCons!$A$4:$A$10000)))*1,[2]OUT_FinalEnergyCons!I$4:I$10000)</f>
        <v>0.7747300495906928</v>
      </c>
      <c r="L1890" s="1" cm="1">
        <f t="array" ref="L1890">SUMPRODUCT(([2]OUT_FinalEnergyCons!$B$4:$B$10000="Var_cap")*1,(ISNUMBER(SEARCH("SCOM-SHLFOBR",[2]OUT_FinalEnergyCons!$A$4:$A$10000)))*1,[2]OUT_FinalEnergyCons!J$4:J$10000)</f>
        <v>0.42285438746808668</v>
      </c>
      <c r="N1890" s="1"/>
    </row>
    <row r="1891" spans="2:14" x14ac:dyDescent="0.35">
      <c r="B1891" s="5" t="str">
        <f t="shared" ref="B1891:C1891" si="2014">B1890</f>
        <v>SPS1</v>
      </c>
      <c r="C1891" s="5" t="str">
        <f t="shared" si="2014"/>
        <v>CH</v>
      </c>
      <c r="D1891" t="s">
        <v>1906</v>
      </c>
      <c r="E1891" t="str">
        <f t="shared" si="2013"/>
        <v>GWth/yr.</v>
      </c>
      <c r="F1891" s="1">
        <f>SUM(F1892:F1894)</f>
        <v>2.8800227612166243</v>
      </c>
      <c r="G1891" s="1">
        <f t="shared" ref="G1891:K1891" si="2015">SUM(G1892:G1894)</f>
        <v>2.8800184823045063</v>
      </c>
      <c r="H1891" s="1">
        <f t="shared" si="2015"/>
        <v>3.0130816502619511</v>
      </c>
      <c r="I1891" s="1">
        <f t="shared" si="2015"/>
        <v>3.1469504803970603</v>
      </c>
      <c r="J1891" s="1">
        <f t="shared" si="2015"/>
        <v>1.6496203103139691</v>
      </c>
      <c r="K1891" s="1">
        <f t="shared" si="2015"/>
        <v>1.6069944252393815</v>
      </c>
      <c r="L1891" s="1">
        <f t="shared" ref="L1891" si="2016">SUM(L1892:L1894)</f>
        <v>1.3695458692650699</v>
      </c>
      <c r="N1891" s="1"/>
    </row>
    <row r="1892" spans="2:14" x14ac:dyDescent="0.35">
      <c r="B1892" s="5" t="str">
        <f t="shared" ref="B1892:C1892" si="2017">B1891</f>
        <v>SPS1</v>
      </c>
      <c r="C1892" s="5" t="str">
        <f t="shared" si="2017"/>
        <v>CH</v>
      </c>
      <c r="D1892" t="s">
        <v>1907</v>
      </c>
      <c r="E1892" t="str">
        <f t="shared" si="2013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2.7746815535641391</v>
      </c>
      <c r="G1892" s="1" cm="1">
        <f t="array" ref="G1892">SUMPRODUCT(([1]OUT_FinalEnergyCons!$B$4:$B$10000="Var_cap")*1, (ISNUMBER(SEARCH("SCOM-SHNGABR",[1]OUT_FinalEnergyCons!$A$4:$A$10000)))*1,[1]OUT_FinalEnergyCons!E$4:E$10000)</f>
        <v>2.7746679456434129</v>
      </c>
      <c r="H1892" s="1" cm="1">
        <f t="array" ref="H1892">SUMPRODUCT(([1]OUT_FinalEnergyCons!$B$4:$B$10000="Var_cap")*1, (ISNUMBER(SEARCH("SCOM-SHNGABR",[1]OUT_FinalEnergyCons!$A$4:$A$10000)))*1,[1]OUT_FinalEnergyCons!F$4:F$10000)</f>
        <v>2.7746565663103984</v>
      </c>
      <c r="I1892" s="1" cm="1">
        <f t="array" ref="I1892">SUMPRODUCT(([1]OUT_FinalEnergyCons!$B$4:$B$10000="Var_cap")*1, (ISNUMBER(SEARCH("SCOM-SHNGABR",[1]OUT_FinalEnergyCons!$A$4:$A$10000)))*1,[1]OUT_FinalEnergyCons!G$4:G$10000)</f>
        <v>2.7746532885591715</v>
      </c>
      <c r="J1892" s="1" cm="1">
        <f t="array" ref="J1892">SUMPRODUCT(([2]OUT_FinalEnergyCons!$B$4:$B$10000="Var_cap")*1, (ISNUMBER(SEARCH("SCOM-SHNGABR",[2]OUT_FinalEnergyCons!$A$4:$A$10000)))*1,[2]OUT_FinalEnergyCons!H$4:H$10000)</f>
        <v>1.2505365194298237</v>
      </c>
      <c r="K1892" s="1" cm="1">
        <f t="array" ref="K1892">SUMPRODUCT(([2]OUT_FinalEnergyCons!$B$4:$B$10000="Var_cap")*1, (ISNUMBER(SEARCH("SCOM-SHNGABR",[2]OUT_FinalEnergyCons!$A$4:$A$10000)))*1,[2]OUT_FinalEnergyCons!I$4:I$10000)</f>
        <v>1.1406678186540735</v>
      </c>
      <c r="L1892" s="1" cm="1">
        <f t="array" ref="L1892">SUMPRODUCT(([2]OUT_FinalEnergyCons!$B$4:$B$10000="Var_cap")*1, (ISNUMBER(SEARCH("SCOM-SHNGABR",[2]OUT_FinalEnergyCons!$A$4:$A$10000)))*1,[2]OUT_FinalEnergyCons!J$4:J$10000)</f>
        <v>0.69742337344008098</v>
      </c>
      <c r="N1892" s="1"/>
    </row>
    <row r="1893" spans="2:14" x14ac:dyDescent="0.35">
      <c r="B1893" s="5" t="str">
        <f t="shared" ref="B1893:C1893" si="2018">B1892</f>
        <v>SPS1</v>
      </c>
      <c r="C1893" s="5" t="str">
        <f t="shared" si="2018"/>
        <v>CH</v>
      </c>
      <c r="D1893" t="s">
        <v>1908</v>
      </c>
      <c r="E1893" t="str">
        <f t="shared" si="2013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1.35884408911909E-7</v>
      </c>
      <c r="G1893" s="1" cm="1">
        <f t="array" ref="G1893">SUMPRODUCT(([1]OUT_FinalEnergyCons!$B$4:$B$10000="Var_cap")*1, (ISNUMBER(SEARCH("SCOM-SHngahp",[1]OUT_FinalEnergyCons!$A$4:$A$10000)))*1,[1]OUT_FinalEnergyCons!E$4:E$10000)</f>
        <v>9.9855702295046725E-6</v>
      </c>
      <c r="H1893" s="1" cm="1">
        <f t="array" ref="H1893">SUMPRODUCT(([1]OUT_FinalEnergyCons!$B$4:$B$10000="Var_cap")*1, (ISNUMBER(SEARCH("SCOM-SHngahp",[1]OUT_FinalEnergyCons!$A$4:$A$10000)))*1,[1]OUT_FinalEnergyCons!F$4:F$10000)</f>
        <v>0.13309671992942065</v>
      </c>
      <c r="I1893" s="1" cm="1">
        <f t="array" ref="I1893">SUMPRODUCT(([1]OUT_FinalEnergyCons!$B$4:$B$10000="Var_cap")*1, (ISNUMBER(SEARCH("SCOM-SHngahp",[1]OUT_FinalEnergyCons!$A$4:$A$10000)))*1,[1]OUT_FinalEnergyCons!G$4:G$10000)</f>
        <v>0.2669705620280049</v>
      </c>
      <c r="J1893" s="1" cm="1">
        <f t="array" ref="J1893">SUMPRODUCT(([2]OUT_FinalEnergyCons!$B$4:$B$10000="Var_cap")*1, (ISNUMBER(SEARCH("SCOM-SHngahp",[2]OUT_FinalEnergyCons!$A$4:$A$10000)))*1,[2]OUT_FinalEnergyCons!H$4:H$10000)</f>
        <v>0.37176210812018307</v>
      </c>
      <c r="K1893" s="1" cm="1">
        <f t="array" ref="K1893">SUMPRODUCT(([2]OUT_FinalEnergyCons!$B$4:$B$10000="Var_cap")*1, (ISNUMBER(SEARCH("SCOM-SHngahp",[2]OUT_FinalEnergyCons!$A$4:$A$10000)))*1,[2]OUT_FinalEnergyCons!I$4:I$10000)</f>
        <v>0.46631620785301214</v>
      </c>
      <c r="L1893" s="1" cm="1">
        <f t="array" ref="L1893">SUMPRODUCT(([2]OUT_FinalEnergyCons!$B$4:$B$10000="Var_cap")*1, (ISNUMBER(SEARCH("SCOM-SHngahp",[2]OUT_FinalEnergyCons!$A$4:$A$10000)))*1,[2]OUT_FinalEnergyCons!J$4:J$10000)</f>
        <v>0.67211343242657628</v>
      </c>
      <c r="N1893" s="1"/>
    </row>
    <row r="1894" spans="2:14" x14ac:dyDescent="0.35">
      <c r="B1894" s="5" t="str">
        <f t="shared" ref="B1894:C1894" si="2019">B1893</f>
        <v>SPS1</v>
      </c>
      <c r="C1894" s="5" t="str">
        <f t="shared" si="2019"/>
        <v>CH</v>
      </c>
      <c r="D1894" t="s">
        <v>1909</v>
      </c>
      <c r="E1894" t="str">
        <f t="shared" si="2013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0.10534107176807619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0.10534055109086389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0.10532836402213222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0.10532662980988396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2.7321682763962098E-2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1.0398732295961028E-5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9.0633984125950915E-6</v>
      </c>
      <c r="N1894" s="1"/>
    </row>
    <row r="1895" spans="2:14" x14ac:dyDescent="0.35">
      <c r="B1895" s="5" t="str">
        <f t="shared" ref="B1895:C1895" si="2020">B1894</f>
        <v>SPS1</v>
      </c>
      <c r="C1895" s="5" t="str">
        <f t="shared" si="2020"/>
        <v>CH</v>
      </c>
      <c r="D1895" t="s">
        <v>1910</v>
      </c>
      <c r="E1895" t="str">
        <f t="shared" si="2013"/>
        <v>GWth/yr.</v>
      </c>
      <c r="F1895" s="1">
        <f>F1896</f>
        <v>0.4784225370902444</v>
      </c>
      <c r="G1895" s="1">
        <f t="shared" ref="G1895:L1895" si="2021">G1896</f>
        <v>0.53187668218903705</v>
      </c>
      <c r="H1895" s="1">
        <f t="shared" si="2021"/>
        <v>0.5318656365771931</v>
      </c>
      <c r="I1895" s="1">
        <f t="shared" si="2021"/>
        <v>0.53186371282515876</v>
      </c>
      <c r="J1895" s="1">
        <f t="shared" si="2021"/>
        <v>0.45207464695213745</v>
      </c>
      <c r="K1895" s="1">
        <f t="shared" si="2021"/>
        <v>0.41576349890691033</v>
      </c>
      <c r="L1895" s="1">
        <f t="shared" si="2021"/>
        <v>0.36391801518674444</v>
      </c>
      <c r="N1895" s="1"/>
    </row>
    <row r="1896" spans="2:14" x14ac:dyDescent="0.35">
      <c r="B1896" s="5" t="str">
        <f t="shared" ref="B1896:C1896" si="2022">B1895</f>
        <v>SPS1</v>
      </c>
      <c r="C1896" s="5" t="str">
        <f t="shared" si="2022"/>
        <v>CH</v>
      </c>
      <c r="D1896" t="s">
        <v>1911</v>
      </c>
      <c r="E1896" t="str">
        <f t="shared" si="2013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0.4784225370902444</v>
      </c>
      <c r="G1896" s="1" cm="1">
        <f t="array" ref="G1896">SUMPRODUCT(([1]OUT_FinalEnergyCons!$B$4:$B$10000="Var_cap")*1, (ISNUMBER(SEARCH("SCOM-SHWODBR",[1]OUT_FinalEnergyCons!$A$4:$A$10000)))*1,[1]OUT_FinalEnergyCons!E$4:E$10000)</f>
        <v>0.53187668218903705</v>
      </c>
      <c r="H1896" s="1" cm="1">
        <f t="array" ref="H1896">SUMPRODUCT(([1]OUT_FinalEnergyCons!$B$4:$B$10000="Var_cap")*1, (ISNUMBER(SEARCH("SCOM-SHWODBR",[1]OUT_FinalEnergyCons!$A$4:$A$10000)))*1,[1]OUT_FinalEnergyCons!F$4:F$10000)</f>
        <v>0.5318656365771931</v>
      </c>
      <c r="I1896" s="1" cm="1">
        <f t="array" ref="I1896">SUMPRODUCT(([1]OUT_FinalEnergyCons!$B$4:$B$10000="Var_cap")*1, (ISNUMBER(SEARCH("SCOM-SHWODBR",[1]OUT_FinalEnergyCons!$A$4:$A$10000)))*1,[1]OUT_FinalEnergyCons!G$4:G$10000)</f>
        <v>0.53186371282515876</v>
      </c>
      <c r="J1896" s="1" cm="1">
        <f t="array" ref="J1896">SUMPRODUCT(([2]OUT_FinalEnergyCons!$B$4:$B$10000="Var_cap")*1, (ISNUMBER(SEARCH("SCOM-SHWODBR",[2]OUT_FinalEnergyCons!$A$4:$A$10000)))*1,[2]OUT_FinalEnergyCons!H$4:H$10000)</f>
        <v>0.45207464695213745</v>
      </c>
      <c r="K1896" s="1" cm="1">
        <f t="array" ref="K1896">SUMPRODUCT(([2]OUT_FinalEnergyCons!$B$4:$B$10000="Var_cap")*1, (ISNUMBER(SEARCH("SCOM-SHWODBR",[2]OUT_FinalEnergyCons!$A$4:$A$10000)))*1,[2]OUT_FinalEnergyCons!I$4:I$10000)</f>
        <v>0.41576349890691033</v>
      </c>
      <c r="L1896" s="1" cm="1">
        <f t="array" ref="L1896">SUMPRODUCT(([2]OUT_FinalEnergyCons!$B$4:$B$10000="Var_cap")*1, (ISNUMBER(SEARCH("SCOM-SHWODBR",[2]OUT_FinalEnergyCons!$A$4:$A$10000)))*1,[2]OUT_FinalEnergyCons!J$4:J$10000)</f>
        <v>0.36391801518674444</v>
      </c>
      <c r="N1896" s="1"/>
    </row>
    <row r="1897" spans="2:14" x14ac:dyDescent="0.35">
      <c r="B1897" s="5" t="str">
        <f t="shared" ref="B1897:C1897" si="2023">B1896</f>
        <v>SPS1</v>
      </c>
      <c r="C1897" s="5" t="str">
        <f t="shared" si="2023"/>
        <v>CH</v>
      </c>
      <c r="D1897" t="s">
        <v>1912</v>
      </c>
      <c r="E1897" t="str">
        <f t="shared" si="2013"/>
        <v>GWth/yr.</v>
      </c>
      <c r="F1897" s="1">
        <f>F1898</f>
        <v>0.15051114837620441</v>
      </c>
      <c r="G1897" s="1">
        <f t="shared" ref="G1897:L1897" si="2024">G1898</f>
        <v>0.17484821030851186</v>
      </c>
      <c r="H1897" s="1">
        <f t="shared" si="2024"/>
        <v>7.2127868261988193E-2</v>
      </c>
      <c r="I1897" s="1">
        <f t="shared" si="2024"/>
        <v>7.2127131677862111E-2</v>
      </c>
      <c r="J1897" s="1">
        <f t="shared" si="2024"/>
        <v>7.1677526498620289E-2</v>
      </c>
      <c r="K1897" s="1">
        <f t="shared" si="2024"/>
        <v>8.5088977170469898E-2</v>
      </c>
      <c r="L1897" s="1">
        <f t="shared" si="2024"/>
        <v>0.10475102498397833</v>
      </c>
      <c r="N1897" s="1"/>
    </row>
    <row r="1898" spans="2:14" x14ac:dyDescent="0.35">
      <c r="B1898" s="5" t="str">
        <f t="shared" ref="B1898:C1898" si="2025">B1897</f>
        <v>SPS1</v>
      </c>
      <c r="C1898" s="5" t="str">
        <f t="shared" si="2025"/>
        <v>CH</v>
      </c>
      <c r="D1898" t="s">
        <v>1913</v>
      </c>
      <c r="E1898" t="str">
        <f t="shared" si="2013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0.15051114837620441</v>
      </c>
      <c r="G1898" s="1" cm="1">
        <f t="array" ref="G1898">SUMPRODUCT(([1]OUT_FinalEnergyCons!$B$4:$B$10000="Var_cap")*1,(ISNUMBER(SEARCH("SCOM-SHPLTBR",[1]OUT_FinalEnergyCons!$A$4:$A$10000)))*1,[1]OUT_FinalEnergyCons!E$4:E$10000)</f>
        <v>0.17484821030851186</v>
      </c>
      <c r="H1898" s="1" cm="1">
        <f t="array" ref="H1898">SUMPRODUCT(([1]OUT_FinalEnergyCons!$B$4:$B$10000="Var_cap")*1,(ISNUMBER(SEARCH("SCOM-SHPLTBR",[1]OUT_FinalEnergyCons!$A$4:$A$10000)))*1,[1]OUT_FinalEnergyCons!F$4:F$10000)</f>
        <v>7.2127868261988193E-2</v>
      </c>
      <c r="I1898" s="1" cm="1">
        <f t="array" ref="I1898">SUMPRODUCT(([1]OUT_FinalEnergyCons!$B$4:$B$10000="Var_cap")*1,(ISNUMBER(SEARCH("SCOM-SHPLTBR",[1]OUT_FinalEnergyCons!$A$4:$A$10000)))*1,[1]OUT_FinalEnergyCons!G$4:G$10000)</f>
        <v>7.2127131677862111E-2</v>
      </c>
      <c r="J1898" s="1" cm="1">
        <f t="array" ref="J1898">SUMPRODUCT(([2]OUT_FinalEnergyCons!$B$4:$B$10000="Var_cap")*1,(ISNUMBER(SEARCH("SCOM-SHPLTBR",[2]OUT_FinalEnergyCons!$A$4:$A$10000)))*1,[2]OUT_FinalEnergyCons!H$4:H$10000)</f>
        <v>7.1677526498620289E-2</v>
      </c>
      <c r="K1898" s="1" cm="1">
        <f t="array" ref="K1898">SUMPRODUCT(([2]OUT_FinalEnergyCons!$B$4:$B$10000="Var_cap")*1,(ISNUMBER(SEARCH("SCOM-SHPLTBR",[2]OUT_FinalEnergyCons!$A$4:$A$10000)))*1,[2]OUT_FinalEnergyCons!I$4:I$10000)</f>
        <v>8.5088977170469898E-2</v>
      </c>
      <c r="L1898" s="1" cm="1">
        <f t="array" ref="L1898">SUMPRODUCT(([2]OUT_FinalEnergyCons!$B$4:$B$10000="Var_cap")*1,(ISNUMBER(SEARCH("SCOM-SHPLTBR",[2]OUT_FinalEnergyCons!$A$4:$A$10000)))*1,[2]OUT_FinalEnergyCons!J$4:J$10000)</f>
        <v>0.10475102498397833</v>
      </c>
      <c r="N1898" s="1"/>
    </row>
    <row r="1899" spans="2:14" x14ac:dyDescent="0.35">
      <c r="B1899" s="5" t="str">
        <f t="shared" ref="B1899:C1899" si="2026">B1898</f>
        <v>SPS1</v>
      </c>
      <c r="C1899" s="5" t="str">
        <f t="shared" si="2026"/>
        <v>CH</v>
      </c>
      <c r="D1899" t="s">
        <v>1914</v>
      </c>
      <c r="E1899" t="str">
        <f t="shared" si="2013"/>
        <v>GWth/yr.</v>
      </c>
      <c r="F1899" s="1">
        <f>F1900</f>
        <v>9.1064025623466105E-2</v>
      </c>
      <c r="G1899" s="1">
        <f t="shared" ref="G1899:L1899" si="2027">G1900</f>
        <v>9.9822557981943699E-2</v>
      </c>
      <c r="H1899" s="1">
        <f t="shared" si="2027"/>
        <v>9.9822089946768569E-2</v>
      </c>
      <c r="I1899" s="1">
        <f t="shared" si="2027"/>
        <v>9.9822097790525741E-2</v>
      </c>
      <c r="J1899" s="1">
        <f t="shared" si="2027"/>
        <v>9.8927361710080999E-2</v>
      </c>
      <c r="K1899" s="1">
        <f t="shared" si="2027"/>
        <v>0.10669411836880721</v>
      </c>
      <c r="L1899" s="1">
        <f t="shared" si="2027"/>
        <v>0.12742874762811163</v>
      </c>
      <c r="N1899" s="1"/>
    </row>
    <row r="1900" spans="2:14" x14ac:dyDescent="0.35">
      <c r="B1900" s="5" t="str">
        <f t="shared" ref="B1900:C1900" si="2028">B1899</f>
        <v>SPS1</v>
      </c>
      <c r="C1900" s="5" t="str">
        <f t="shared" si="2028"/>
        <v>CH</v>
      </c>
      <c r="D1900" t="s">
        <v>1915</v>
      </c>
      <c r="E1900" t="str">
        <f t="shared" si="2013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9.1064025623466105E-2</v>
      </c>
      <c r="G1900" s="1" cm="1">
        <f t="array" ref="G1900">SUMPRODUCT(([1]OUT_FinalEnergyCons!$B$4:$B$10000="Var_cap")*1, (ISNUMBER(SEARCH("SCOM-SHSOLBR",[1]OUT_FinalEnergyCons!$A$4:$A$10000)))*1,[1]OUT_FinalEnergyCons!E$4:E$10000)</f>
        <v>9.9822557981943699E-2</v>
      </c>
      <c r="H1900" s="1" cm="1">
        <f t="array" ref="H1900">SUMPRODUCT(([1]OUT_FinalEnergyCons!$B$4:$B$10000="Var_cap")*1, (ISNUMBER(SEARCH("SCOM-SHSOLBR",[1]OUT_FinalEnergyCons!$A$4:$A$10000)))*1,[1]OUT_FinalEnergyCons!F$4:F$10000)</f>
        <v>9.9822089946768569E-2</v>
      </c>
      <c r="I1900" s="1" cm="1">
        <f t="array" ref="I1900">SUMPRODUCT(([1]OUT_FinalEnergyCons!$B$4:$B$10000="Var_cap")*1, (ISNUMBER(SEARCH("SCOM-SHSOLBR",[1]OUT_FinalEnergyCons!$A$4:$A$10000)))*1,[1]OUT_FinalEnergyCons!G$4:G$10000)</f>
        <v>9.9822097790525741E-2</v>
      </c>
      <c r="J1900" s="1" cm="1">
        <f t="array" ref="J1900">SUMPRODUCT(([2]OUT_FinalEnergyCons!$B$4:$B$10000="Var_cap")*1, (ISNUMBER(SEARCH("SCOM-SHSOLBR",[2]OUT_FinalEnergyCons!$A$4:$A$10000)))*1,[2]OUT_FinalEnergyCons!H$4:H$10000)</f>
        <v>9.8927361710080999E-2</v>
      </c>
      <c r="K1900" s="1" cm="1">
        <f t="array" ref="K1900">SUMPRODUCT(([2]OUT_FinalEnergyCons!$B$4:$B$10000="Var_cap")*1, (ISNUMBER(SEARCH("SCOM-SHSOLBR",[2]OUT_FinalEnergyCons!$A$4:$A$10000)))*1,[2]OUT_FinalEnergyCons!I$4:I$10000)</f>
        <v>0.10669411836880721</v>
      </c>
      <c r="L1900" s="1" cm="1">
        <f t="array" ref="L1900">SUMPRODUCT(([2]OUT_FinalEnergyCons!$B$4:$B$10000="Var_cap")*1, (ISNUMBER(SEARCH("SCOM-SHSOLBR",[2]OUT_FinalEnergyCons!$A$4:$A$10000)))*1,[2]OUT_FinalEnergyCons!J$4:J$10000)</f>
        <v>0.12742874762811163</v>
      </c>
      <c r="N1900" s="1"/>
    </row>
    <row r="1901" spans="2:14" x14ac:dyDescent="0.35">
      <c r="B1901" s="5" t="str">
        <f t="shared" ref="B1901:C1901" si="2029">B1900</f>
        <v>SPS1</v>
      </c>
      <c r="C1901" s="5" t="str">
        <f t="shared" si="2029"/>
        <v>CH</v>
      </c>
      <c r="D1901" t="s">
        <v>1916</v>
      </c>
      <c r="E1901" t="str">
        <f t="shared" si="2013"/>
        <v>GWth/yr.</v>
      </c>
      <c r="F1901" s="1">
        <f>F1902</f>
        <v>0</v>
      </c>
      <c r="G1901" s="1">
        <f t="shared" ref="G1901:L1901" si="2030">G1902</f>
        <v>0</v>
      </c>
      <c r="H1901" s="1">
        <f t="shared" si="2030"/>
        <v>0</v>
      </c>
      <c r="I1901" s="1">
        <f t="shared" si="2030"/>
        <v>1.7699554431450301E-7</v>
      </c>
      <c r="J1901" s="1">
        <f t="shared" si="2030"/>
        <v>0.55766157515464509</v>
      </c>
      <c r="K1901" s="1">
        <f t="shared" si="2030"/>
        <v>0.63727590693859693</v>
      </c>
      <c r="L1901" s="1">
        <f t="shared" si="2030"/>
        <v>0.94421139841474233</v>
      </c>
      <c r="N1901" s="1"/>
    </row>
    <row r="1902" spans="2:14" x14ac:dyDescent="0.35">
      <c r="B1902" s="5" t="str">
        <f t="shared" ref="B1902:C1902" si="2031">B1901</f>
        <v>SPS1</v>
      </c>
      <c r="C1902" s="5" t="str">
        <f t="shared" si="2031"/>
        <v>CH</v>
      </c>
      <c r="D1902" t="s">
        <v>1917</v>
      </c>
      <c r="E1902" t="str">
        <f t="shared" si="2013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1.7699554431450301E-7</v>
      </c>
      <c r="J1902" s="1" cm="1">
        <f t="array" ref="J1902">SUMPRODUCT(([2]OUT_FinalEnergyCons!$B$4:$B$10000="Var_cap")*1, (ISNUMBER(SEARCH("SCOM-SHH2BR",[2]OUT_FinalEnergyCons!$A$4:$A$10000)))*1,[2]OUT_FinalEnergyCons!H$4:H$10000)</f>
        <v>0.55766157515464509</v>
      </c>
      <c r="K1902" s="1" cm="1">
        <f t="array" ref="K1902">SUMPRODUCT(([2]OUT_FinalEnergyCons!$B$4:$B$10000="Var_cap")*1, (ISNUMBER(SEARCH("SCOM-SHH2BR",[2]OUT_FinalEnergyCons!$A$4:$A$10000)))*1,[2]OUT_FinalEnergyCons!I$4:I$10000)</f>
        <v>0.63727590693859693</v>
      </c>
      <c r="L1902" s="1" cm="1">
        <f t="array" ref="L1902">SUMPRODUCT(([2]OUT_FinalEnergyCons!$B$4:$B$10000="Var_cap")*1, (ISNUMBER(SEARCH("SCOM-SHH2BR",[2]OUT_FinalEnergyCons!$A$4:$A$10000)))*1,[2]OUT_FinalEnergyCons!J$4:J$10000)</f>
        <v>0.94421139841474233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4.6764303822346776</v>
      </c>
      <c r="G1903" s="3">
        <f t="shared" ref="G1903:K1903" si="2032">SUM(G1904:G1953)</f>
        <v>4.8370475852570669</v>
      </c>
      <c r="H1903" s="3">
        <f t="shared" si="2032"/>
        <v>4.9052819730545716</v>
      </c>
      <c r="I1903" s="3">
        <f t="shared" si="2032"/>
        <v>5.2591577027034289</v>
      </c>
      <c r="J1903" s="3">
        <f t="shared" si="2032"/>
        <v>5.4270712247112298</v>
      </c>
      <c r="K1903" s="3">
        <f t="shared" si="2032"/>
        <v>5.5948148439348397</v>
      </c>
      <c r="L1903" s="3">
        <f t="shared" ref="L1903" si="2033">SUM(L1904:L1953)</f>
        <v>5.8034892786412637</v>
      </c>
      <c r="N1903" s="1"/>
    </row>
    <row r="1904" spans="2:14" x14ac:dyDescent="0.35">
      <c r="B1904" s="5" t="str">
        <f t="shared" ref="B1904:B1953" si="2034">B1903</f>
        <v>SPS1</v>
      </c>
      <c r="C1904" s="5" t="str">
        <f t="shared" ref="C1904:C1953" si="2035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2.80266666666667E-2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4"/>
        <v>SPS1</v>
      </c>
      <c r="C1905" s="5" t="str">
        <f t="shared" si="2035"/>
        <v>CH</v>
      </c>
      <c r="D1905" t="s">
        <v>1922</v>
      </c>
      <c r="E1905" t="str">
        <f t="shared" ref="E1905:E1953" si="2036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1.5059561139957678E-3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2.3871980263837351E-3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2.4175265045414795E-3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2.2214007114089098E-3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5.6383883286815605E-4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1.2079812623580664E-3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9.2613368597719611E-2</v>
      </c>
      <c r="N1905" s="1"/>
    </row>
    <row r="1906" spans="2:14" x14ac:dyDescent="0.35">
      <c r="B1906" s="5" t="str">
        <f t="shared" si="2034"/>
        <v>SPS1</v>
      </c>
      <c r="C1906" s="5" t="str">
        <f t="shared" si="2035"/>
        <v>CH</v>
      </c>
      <c r="D1906" t="s">
        <v>1923</v>
      </c>
      <c r="E1906" t="str">
        <f t="shared" si="2036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7.3541441986071246E-3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1.1377548160844169E-2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1.4149086379460331E-2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0.57872634942262946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1.4176550422987821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1.8154267992676101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1.7771291696056799</v>
      </c>
      <c r="N1906" s="1"/>
    </row>
    <row r="1907" spans="2:14" x14ac:dyDescent="0.35">
      <c r="B1907" s="5" t="str">
        <f t="shared" si="2034"/>
        <v>SPS1</v>
      </c>
      <c r="C1907" s="5" t="str">
        <f t="shared" si="2035"/>
        <v>CH</v>
      </c>
      <c r="D1907" t="s">
        <v>1924</v>
      </c>
      <c r="E1907" t="str">
        <f t="shared" si="2036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4.2712573813513096E-3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1.0782050150493279E-2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1.1402791995902609E-2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3.2181775899894009E-2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0.2782202811551901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0.3165345439394941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0.31018730329342697</v>
      </c>
      <c r="N1907" s="1"/>
    </row>
    <row r="1908" spans="2:14" x14ac:dyDescent="0.35">
      <c r="B1908" s="5" t="str">
        <f t="shared" si="2034"/>
        <v>SPS1</v>
      </c>
      <c r="C1908" s="5" t="str">
        <f t="shared" si="2035"/>
        <v>CH</v>
      </c>
      <c r="D1908" t="s">
        <v>1925</v>
      </c>
      <c r="E1908" t="str">
        <f t="shared" si="2036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1.5351731027099028E-2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0.10912593110266927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0.36515229318185394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1.0818928757716175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1.2941275089866082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1.1196531627062738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1.3940127837002501</v>
      </c>
      <c r="N1908" s="1"/>
    </row>
    <row r="1909" spans="2:14" x14ac:dyDescent="0.35">
      <c r="B1909" s="5" t="str">
        <f t="shared" si="2034"/>
        <v>SPS1</v>
      </c>
      <c r="C1909" s="5" t="str">
        <f t="shared" si="2035"/>
        <v>CH</v>
      </c>
      <c r="D1909" t="s">
        <v>1926</v>
      </c>
      <c r="E1909" t="str">
        <f t="shared" si="2036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2.5986958870288964E-5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5.2852226417770398E-5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7.0612038435012206E-5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7.5670158837537699E-5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2.7911864875329127E-5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2.4050156415508399E-5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1.5805049103914801E-5</v>
      </c>
      <c r="N1909" s="1"/>
    </row>
    <row r="1910" spans="2:14" x14ac:dyDescent="0.35">
      <c r="B1910" s="5" t="str">
        <f t="shared" si="2034"/>
        <v>SPS1</v>
      </c>
      <c r="C1910" s="5" t="str">
        <f t="shared" si="2035"/>
        <v>CH</v>
      </c>
      <c r="D1910" t="s">
        <v>1927</v>
      </c>
      <c r="E1910" t="str">
        <f t="shared" si="2036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4.8859162891070505E-3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7.4792660172568071E-3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7.2309321377656182E-3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5.9067116107414551E-3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9.676248238461978E-4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6.9515652847513897E-5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4.8401609468545998E-5</v>
      </c>
      <c r="N1910" s="1"/>
    </row>
    <row r="1911" spans="2:14" x14ac:dyDescent="0.35">
      <c r="B1911" s="5" t="str">
        <f t="shared" si="2034"/>
        <v>SPS1</v>
      </c>
      <c r="C1911" s="5" t="str">
        <f t="shared" si="2035"/>
        <v>CH</v>
      </c>
      <c r="D1911" t="s">
        <v>1928</v>
      </c>
      <c r="E1911" t="str">
        <f t="shared" si="2036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4.0687086215013442E-3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4.1887793320518001E-2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8.2302744277871112E-2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0.34404914975760853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0.3760486910762677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0.31635884990319202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0.28407782364530199</v>
      </c>
      <c r="N1911" s="1"/>
    </row>
    <row r="1912" spans="2:14" x14ac:dyDescent="0.35">
      <c r="B1912" s="5" t="str">
        <f t="shared" si="2034"/>
        <v>SPS1</v>
      </c>
      <c r="C1912" s="5" t="str">
        <f t="shared" si="2035"/>
        <v>CH</v>
      </c>
      <c r="D1912" t="s">
        <v>1929</v>
      </c>
      <c r="E1912" t="str">
        <f t="shared" si="2036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7.26269943139435E-3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1.251912557958712E-2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1.2063952645319787E-2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9.704145019800681E-3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1.8487976640572939E-3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6.8944951825273502E-5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4.8056919019437898E-5</v>
      </c>
      <c r="N1912" s="1"/>
    </row>
    <row r="1913" spans="2:14" x14ac:dyDescent="0.35">
      <c r="B1913" s="5" t="str">
        <f t="shared" si="2034"/>
        <v>SPS1</v>
      </c>
      <c r="C1913" s="5" t="str">
        <f t="shared" si="2035"/>
        <v>CH</v>
      </c>
      <c r="D1913" t="s">
        <v>1930</v>
      </c>
      <c r="E1913" t="str">
        <f t="shared" si="2036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3.28153716553084E-5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5.1725008912137796E-5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6.3263174230261302E-5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2.869428633336E-5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2.41584840741089E-5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1.5874805856116E-5</v>
      </c>
      <c r="N1913" s="1"/>
    </row>
    <row r="1914" spans="2:14" x14ac:dyDescent="0.35">
      <c r="B1914" s="5" t="str">
        <f t="shared" si="2034"/>
        <v>SPS1</v>
      </c>
      <c r="C1914" s="5" t="str">
        <f t="shared" si="2035"/>
        <v>CH</v>
      </c>
      <c r="D1914" t="s">
        <v>1931</v>
      </c>
      <c r="E1914" t="str">
        <f t="shared" si="2036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1.4333367511632664E-5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4.8718740676216015E-5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7.7010817143427057E-5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7.1340733696662959E-5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7.6945347087133505E-5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5.0975793397308402E-5</v>
      </c>
      <c r="N1914" s="1"/>
    </row>
    <row r="1915" spans="2:14" x14ac:dyDescent="0.35">
      <c r="B1915" s="5" t="str">
        <f t="shared" si="2034"/>
        <v>SPS1</v>
      </c>
      <c r="C1915" s="5" t="str">
        <f t="shared" si="2035"/>
        <v>CH</v>
      </c>
      <c r="D1915" t="s">
        <v>1932</v>
      </c>
      <c r="E1915" t="str">
        <f t="shared" si="2036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6.2948862172543061E-3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6.8623515488501582E-2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0.24909270776797818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0.58575982541394311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0.64524657142122899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0.566241633304293</v>
      </c>
      <c r="N1915" s="1"/>
    </row>
    <row r="1916" spans="2:14" x14ac:dyDescent="0.35">
      <c r="B1916" s="5" t="str">
        <f t="shared" si="2034"/>
        <v>SPS1</v>
      </c>
      <c r="C1916" s="5" t="str">
        <f t="shared" si="2035"/>
        <v>CH</v>
      </c>
      <c r="D1916" t="s">
        <v>1933</v>
      </c>
      <c r="E1916" t="str">
        <f t="shared" si="2036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2.5905494140503887E-4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7.5175714847817272E-4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7.9452578381574096E-4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6.9215987736589491E-4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2.116613643767558E-4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7.3607132637986994E-5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4.9562307974847899E-5</v>
      </c>
      <c r="N1916" s="1"/>
    </row>
    <row r="1917" spans="2:14" x14ac:dyDescent="0.35">
      <c r="B1917" s="5" t="str">
        <f t="shared" si="2034"/>
        <v>SPS1</v>
      </c>
      <c r="C1917" s="5" t="str">
        <f t="shared" si="2035"/>
        <v>CH</v>
      </c>
      <c r="D1917" t="s">
        <v>1934</v>
      </c>
      <c r="E1917" t="str">
        <f t="shared" si="2036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7.7397814670271595E-7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1.1707242929083199E-6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4.0323175326443903E-7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6.4291956938878438E-7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6.5495431369004698E-7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5.4821385842151904E-7</v>
      </c>
      <c r="N1917" s="1"/>
    </row>
    <row r="1918" spans="2:14" x14ac:dyDescent="0.35">
      <c r="B1918" s="5" t="str">
        <f t="shared" si="2034"/>
        <v>SPS1</v>
      </c>
      <c r="C1918" s="5" t="str">
        <f t="shared" si="2035"/>
        <v>CH</v>
      </c>
      <c r="D1918" t="s">
        <v>1935</v>
      </c>
      <c r="E1918" t="str">
        <f t="shared" si="2036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1.2899879104720302E-6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1.8058797267872429E-6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2.2442052388497987E-6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7.2175025532131865E-7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5.6123423007640501E-7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5.8989410565127904E-7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5.4317637375166095E-7</v>
      </c>
      <c r="N1918" s="1"/>
    </row>
    <row r="1919" spans="2:14" x14ac:dyDescent="0.35">
      <c r="B1919" s="5" t="str">
        <f t="shared" si="2034"/>
        <v>SPS1</v>
      </c>
      <c r="C1919" s="5" t="str">
        <f t="shared" si="2035"/>
        <v>CH</v>
      </c>
      <c r="D1919" t="s">
        <v>1936</v>
      </c>
      <c r="E1919" t="str">
        <f t="shared" si="2036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3.2117189885621703E-5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8.6998269507163652E-5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8.2193826842482588E-5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1.3720600312928027E-6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6.2212526077447874E-7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5.0412926015038902E-7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5.3893260247457301E-7</v>
      </c>
      <c r="N1919" s="1"/>
    </row>
    <row r="1920" spans="2:14" x14ac:dyDescent="0.35">
      <c r="B1920" s="5" t="str">
        <f t="shared" si="2034"/>
        <v>SPS1</v>
      </c>
      <c r="C1920" s="5" t="str">
        <f t="shared" si="2035"/>
        <v>CH</v>
      </c>
      <c r="D1920" t="s">
        <v>1937</v>
      </c>
      <c r="E1920" t="str">
        <f t="shared" si="2036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3.9018524217648501E-7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6.7853679374323605E-7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5.2620491148647502E-7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5.5011386514100604E-7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6.1251398481832803E-7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6.8998541595413602E-7</v>
      </c>
      <c r="N1920" s="1"/>
    </row>
    <row r="1921" spans="2:14" x14ac:dyDescent="0.35">
      <c r="B1921" s="5" t="str">
        <f t="shared" si="2034"/>
        <v>SPS1</v>
      </c>
      <c r="C1921" s="5" t="str">
        <f t="shared" si="2035"/>
        <v>CH</v>
      </c>
      <c r="D1921" t="s">
        <v>1938</v>
      </c>
      <c r="E1921" t="str">
        <f t="shared" si="2036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4"/>
        <v>SPS1</v>
      </c>
      <c r="C1922" s="5" t="str">
        <f t="shared" si="2035"/>
        <v>CH</v>
      </c>
      <c r="D1922" t="s">
        <v>1939</v>
      </c>
      <c r="E1922" t="str">
        <f t="shared" si="2036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5.669041603835849E-3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6.6142648737534315E-3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6.5652379322323744E-3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3.3194259778854145E-2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0.18783898627519152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0.26867895324901397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0.26061624708057263</v>
      </c>
      <c r="N1922" s="1"/>
    </row>
    <row r="1923" spans="2:14" x14ac:dyDescent="0.35">
      <c r="B1923" s="5" t="str">
        <f t="shared" si="2034"/>
        <v>SPS1</v>
      </c>
      <c r="C1923" s="5" t="str">
        <f t="shared" si="2035"/>
        <v>CH</v>
      </c>
      <c r="D1923" t="s">
        <v>1940</v>
      </c>
      <c r="E1923" t="str">
        <f t="shared" si="2036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1.7227052293229423E-2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2.9497539568092111E-2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0.10710892970865515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9.1933238302065456E-2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5.9442915934627673E-2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8.3553920542720362E-3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8.3793216245053534E-4</v>
      </c>
      <c r="N1923" s="1"/>
    </row>
    <row r="1924" spans="2:14" x14ac:dyDescent="0.35">
      <c r="B1924" s="5" t="str">
        <f t="shared" si="2034"/>
        <v>SPS1</v>
      </c>
      <c r="C1924" s="5" t="str">
        <f t="shared" si="2035"/>
        <v>CH</v>
      </c>
      <c r="D1924" t="s">
        <v>1941</v>
      </c>
      <c r="E1924" t="str">
        <f t="shared" si="2036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1.4248797121047947E-2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0.21259626046654892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0.20085567694546488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0.1617010984450506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5.2816782800527651E-2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2.9249740912267601E-5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1.5152779981250201E-5</v>
      </c>
      <c r="N1924" s="1"/>
    </row>
    <row r="1925" spans="2:14" x14ac:dyDescent="0.35">
      <c r="B1925" s="5" t="str">
        <f t="shared" si="2034"/>
        <v>SPS1</v>
      </c>
      <c r="C1925" s="5" t="str">
        <f t="shared" si="2035"/>
        <v>CH</v>
      </c>
      <c r="D1925" t="s">
        <v>1942</v>
      </c>
      <c r="E1925" t="str">
        <f t="shared" si="2036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8.320393932386122E-3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1.4110356686320444E-2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1.3561375058091484E-2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1.1369589718706601E-2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6.5353954526089358E-3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1.8501976684405945E-2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3.3045403777692141E-2</v>
      </c>
      <c r="N1925" s="1"/>
    </row>
    <row r="1926" spans="2:14" x14ac:dyDescent="0.35">
      <c r="B1926" s="5" t="str">
        <f t="shared" si="2034"/>
        <v>SPS1</v>
      </c>
      <c r="C1926" s="5" t="str">
        <f t="shared" si="2035"/>
        <v>CH</v>
      </c>
      <c r="D1926" t="s">
        <v>1943</v>
      </c>
      <c r="E1926" t="str">
        <f t="shared" si="2036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4"/>
        <v>SPS1</v>
      </c>
      <c r="C1927" s="5" t="str">
        <f t="shared" si="2035"/>
        <v>CH</v>
      </c>
      <c r="D1927" t="s">
        <v>1944</v>
      </c>
      <c r="E1927" t="str">
        <f t="shared" si="2036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3.6542773617589494E-2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3.976882528743169E-2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0.1299413380809358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0.2022063286914331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0.13372736703542989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4.5088031724777732E-2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8.6220893128495404E-6</v>
      </c>
      <c r="N1927" s="1"/>
    </row>
    <row r="1928" spans="2:14" x14ac:dyDescent="0.35">
      <c r="B1928" s="5" t="str">
        <f t="shared" si="2034"/>
        <v>SPS1</v>
      </c>
      <c r="C1928" s="5" t="str">
        <f t="shared" si="2035"/>
        <v>CH</v>
      </c>
      <c r="D1928" t="s">
        <v>1945</v>
      </c>
      <c r="E1928" t="str">
        <f t="shared" si="2036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0.21743082758424429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0.24337921371634744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0.31128511909586992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0.25228240495668253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4.4864835364693101E-2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4.7013988563318681E-3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9.6979298080232397E-6</v>
      </c>
      <c r="N1928" s="1"/>
    </row>
    <row r="1929" spans="2:14" x14ac:dyDescent="0.35">
      <c r="B1929" s="5" t="str">
        <f t="shared" si="2034"/>
        <v>SPS1</v>
      </c>
      <c r="C1929" s="5" t="str">
        <f t="shared" si="2035"/>
        <v>CH</v>
      </c>
      <c r="D1929" t="s">
        <v>1946</v>
      </c>
      <c r="E1929" t="str">
        <f t="shared" si="2036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0.18201253589393093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0.20366271220038373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0.23912645479668979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0.1967747091474896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3.8345802630797711E-2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3.960200671635208E-3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1.02497082152182E-5</v>
      </c>
      <c r="N1929" s="1"/>
    </row>
    <row r="1930" spans="2:14" x14ac:dyDescent="0.35">
      <c r="B1930" s="5" t="str">
        <f t="shared" si="2034"/>
        <v>SPS1</v>
      </c>
      <c r="C1930" s="5" t="str">
        <f t="shared" si="2035"/>
        <v>CH</v>
      </c>
      <c r="D1930" t="s">
        <v>1947</v>
      </c>
      <c r="E1930" t="str">
        <f t="shared" si="2036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0.15707572224196165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0.17927123455842789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0.290573887883457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0.242183052029743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0.65125345013348068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0.82525918438482493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0.87900610259244905</v>
      </c>
      <c r="N1930" s="1"/>
    </row>
    <row r="1931" spans="2:14" x14ac:dyDescent="0.35">
      <c r="B1931" s="5" t="str">
        <f t="shared" si="2034"/>
        <v>SPS1</v>
      </c>
      <c r="C1931" s="5" t="str">
        <f t="shared" si="2035"/>
        <v>CH</v>
      </c>
      <c r="D1931" t="s">
        <v>1948</v>
      </c>
      <c r="E1931" t="str">
        <f t="shared" si="2036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7.8051839031490608E-6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3.8092131705171902E-5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2.7958191632530199E-2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2.2894176200994001E-2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1.13578897686231E-2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1.10230227886196E-5</v>
      </c>
      <c r="N1931" s="1"/>
    </row>
    <row r="1932" spans="2:14" x14ac:dyDescent="0.35">
      <c r="B1932" s="5" t="str">
        <f t="shared" si="2034"/>
        <v>SPS1</v>
      </c>
      <c r="C1932" s="5" t="str">
        <f t="shared" si="2035"/>
        <v>CH</v>
      </c>
      <c r="D1932" t="s">
        <v>1949</v>
      </c>
      <c r="E1932" t="str">
        <f t="shared" si="2036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3.1970912269438501E-6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1.61268123446541E-5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2.8866825601551999E-5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2.6638539315726401E-5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2.2909377376739301E-5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8.6985996953693405E-6</v>
      </c>
      <c r="N1932" s="1"/>
    </row>
    <row r="1933" spans="2:14" x14ac:dyDescent="0.35">
      <c r="B1933" s="5" t="str">
        <f t="shared" si="2034"/>
        <v>SPS1</v>
      </c>
      <c r="C1933" s="5" t="str">
        <f t="shared" si="2035"/>
        <v>CH</v>
      </c>
      <c r="D1933" t="s">
        <v>1950</v>
      </c>
      <c r="E1933" t="str">
        <f t="shared" si="2036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3.4117178591033901E-6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1.39165963441645E-5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2.2391435487721699E-5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1.9285590877484202E-5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1.7760176719092101E-5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8.1181082367419797E-6</v>
      </c>
      <c r="N1933" s="1"/>
    </row>
    <row r="1934" spans="2:14" x14ac:dyDescent="0.35">
      <c r="B1934" s="5" t="str">
        <f t="shared" si="2034"/>
        <v>SPS1</v>
      </c>
      <c r="C1934" s="5" t="str">
        <f t="shared" si="2035"/>
        <v>CH</v>
      </c>
      <c r="D1934" t="s">
        <v>1951</v>
      </c>
      <c r="E1934" t="str">
        <f t="shared" si="2036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4.7569394197090099E-6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2.317446657927E-5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4.1150877404970297E-5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4.5536165924714303E-3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1.84842628126516E-2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3.301764074513E-2</v>
      </c>
      <c r="N1934" s="1"/>
    </row>
    <row r="1935" spans="2:14" x14ac:dyDescent="0.35">
      <c r="B1935" s="5" t="str">
        <f t="shared" si="2034"/>
        <v>SPS1</v>
      </c>
      <c r="C1935" s="5" t="str">
        <f t="shared" si="2035"/>
        <v>CH</v>
      </c>
      <c r="D1935" t="s">
        <v>1952</v>
      </c>
      <c r="E1935" t="str">
        <f t="shared" si="2036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4"/>
        <v>SPS1</v>
      </c>
      <c r="C1936" s="5" t="str">
        <f t="shared" si="2035"/>
        <v>CH</v>
      </c>
      <c r="D1936" t="s">
        <v>1953</v>
      </c>
      <c r="E1936" t="str">
        <f t="shared" si="2036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3.3258282917208226E-2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3.1418648451763932E-2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4.4741865799704558E-2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3.0567099807689971E-2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4.5237504601742487E-2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1.8675759841695061E-2</v>
      </c>
      <c r="N1936" s="1"/>
    </row>
    <row r="1937" spans="2:14" x14ac:dyDescent="0.35">
      <c r="B1937" s="5" t="str">
        <f t="shared" si="2034"/>
        <v>SPS1</v>
      </c>
      <c r="C1937" s="5" t="str">
        <f t="shared" si="2035"/>
        <v>CH</v>
      </c>
      <c r="D1937" t="s">
        <v>1954</v>
      </c>
      <c r="E1937" t="str">
        <f t="shared" si="2036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2.5979045702664378E-4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0.13756661027552375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0.21266141931554502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0.17708915321407864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0.20534878628284958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0.10618104018323983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0.1253576460830518</v>
      </c>
      <c r="N1937" s="1"/>
    </row>
    <row r="1938" spans="2:14" x14ac:dyDescent="0.35">
      <c r="B1938" s="5" t="str">
        <f t="shared" si="2034"/>
        <v>SPS1</v>
      </c>
      <c r="C1938" s="5" t="str">
        <f t="shared" si="2035"/>
        <v>CH</v>
      </c>
      <c r="D1938" t="s">
        <v>1955</v>
      </c>
      <c r="E1938" t="str">
        <f t="shared" si="2036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1.8563744209439594E-3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3.7000109164924064E-3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3.5414490697712134E-3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2.8266068330213001E-3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6.5929113382893036E-4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6.2123678431518451E-3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1.3588581000708727E-2</v>
      </c>
      <c r="N1938" s="1"/>
    </row>
    <row r="1939" spans="2:14" x14ac:dyDescent="0.35">
      <c r="B1939" s="5" t="str">
        <f t="shared" si="2034"/>
        <v>SPS1</v>
      </c>
      <c r="C1939" s="5" t="str">
        <f t="shared" si="2035"/>
        <v>CH</v>
      </c>
      <c r="D1939" t="s">
        <v>1956</v>
      </c>
      <c r="E1939" t="str">
        <f t="shared" si="2036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3.7728766898187426E-3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8.800980589929416E-3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8.4083935754829219E-3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7.0565333541607019E-3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1.5567656330870705E-3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3.0600163153501599E-5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3.9333403518383134E-5</v>
      </c>
      <c r="N1939" s="1"/>
    </row>
    <row r="1940" spans="2:14" x14ac:dyDescent="0.35">
      <c r="B1940" s="5" t="str">
        <f t="shared" si="2034"/>
        <v>SPS1</v>
      </c>
      <c r="C1940" s="5" t="str">
        <f t="shared" si="2035"/>
        <v>CH</v>
      </c>
      <c r="D1940" t="s">
        <v>1957</v>
      </c>
      <c r="E1940" t="str">
        <f t="shared" si="2036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4"/>
        <v>SPS1</v>
      </c>
      <c r="C1941" s="5" t="str">
        <f t="shared" si="2035"/>
        <v>CH</v>
      </c>
      <c r="D1941" t="s">
        <v>1958</v>
      </c>
      <c r="E1941" t="str">
        <f t="shared" si="2036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4.4465691838591515E-4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4.8476969179081346E-4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5.010337840079096E-4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3.7143668749505671E-4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3.22844532649756E-5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1.3803848689525729E-5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5.0873369968512303E-6</v>
      </c>
      <c r="N1941" s="1"/>
    </row>
    <row r="1942" spans="2:14" x14ac:dyDescent="0.35">
      <c r="B1942" s="5" t="str">
        <f t="shared" si="2034"/>
        <v>SPS1</v>
      </c>
      <c r="C1942" s="5" t="str">
        <f t="shared" si="2035"/>
        <v>CH</v>
      </c>
      <c r="D1942" t="s">
        <v>1959</v>
      </c>
      <c r="E1942" t="str">
        <f t="shared" si="2036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6.4569606817228481E-2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6.8510065392165614E-2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6.7901019301008697E-2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5.148201171989366E-2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1.7790743112127564E-3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1.01728684525973E-5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4.2791802290820798E-6</v>
      </c>
      <c r="N1942" s="1"/>
    </row>
    <row r="1943" spans="2:14" x14ac:dyDescent="0.35">
      <c r="B1943" s="5" t="str">
        <f t="shared" si="2034"/>
        <v>SPS1</v>
      </c>
      <c r="C1943" s="5" t="str">
        <f t="shared" si="2035"/>
        <v>CH</v>
      </c>
      <c r="D1943" t="s">
        <v>1960</v>
      </c>
      <c r="E1943" t="str">
        <f t="shared" si="2036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0.18324147760900036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0.19500108153048012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0.19297502982416803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0.14993510242799174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5.6225412061822007E-3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8.66694164836364E-6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4.1475382809030401E-6</v>
      </c>
      <c r="N1943" s="1"/>
    </row>
    <row r="1944" spans="2:14" x14ac:dyDescent="0.35">
      <c r="B1944" s="5" t="str">
        <f t="shared" si="2034"/>
        <v>SPS1</v>
      </c>
      <c r="C1944" s="5" t="str">
        <f t="shared" si="2035"/>
        <v>CH</v>
      </c>
      <c r="D1944" t="s">
        <v>1961</v>
      </c>
      <c r="E1944" t="str">
        <f t="shared" si="2036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7.126233429968877E-2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7.9339626726555826E-2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7.8207922219116946E-2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6.105882737586827E-2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3.3712140733324078E-3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5.8232059994137001E-6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3.12448701610386E-6</v>
      </c>
      <c r="N1944" s="1"/>
    </row>
    <row r="1945" spans="2:14" x14ac:dyDescent="0.35">
      <c r="B1945" s="5" t="str">
        <f t="shared" si="2034"/>
        <v>SPS1</v>
      </c>
      <c r="C1945" s="5" t="str">
        <f t="shared" si="2035"/>
        <v>CH</v>
      </c>
      <c r="D1945" t="s">
        <v>1962</v>
      </c>
      <c r="E1945" t="str">
        <f t="shared" si="2036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7.3808536064300204E-6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3.1913482481834397E-5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1.9520577635087698E-2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2.0175534885024899E-2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1.16111815831734E-2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1.0975623460687601E-3</v>
      </c>
      <c r="N1945" s="1"/>
    </row>
    <row r="1946" spans="2:14" x14ac:dyDescent="0.35">
      <c r="B1946" s="5" t="str">
        <f t="shared" si="2034"/>
        <v>SPS1</v>
      </c>
      <c r="C1946" s="5" t="str">
        <f t="shared" si="2035"/>
        <v>CH</v>
      </c>
      <c r="D1946" t="s">
        <v>1963</v>
      </c>
      <c r="E1946" t="str">
        <f t="shared" si="2036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3.0313961783543899E-6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1.3846851502652399E-5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2.5746617443455299E-5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4.1065326258254802E-5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4.9428888574537499E-5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2.3152880414790101E-5</v>
      </c>
      <c r="N1946" s="1"/>
    </row>
    <row r="1947" spans="2:14" x14ac:dyDescent="0.35">
      <c r="B1947" s="5" t="str">
        <f t="shared" si="2034"/>
        <v>SPS1</v>
      </c>
      <c r="C1947" s="5" t="str">
        <f t="shared" si="2035"/>
        <v>CH</v>
      </c>
      <c r="D1947" t="s">
        <v>1964</v>
      </c>
      <c r="E1947" t="str">
        <f t="shared" si="2036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3.1348703235245301E-6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1.1747663374526E-5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1.9607378795321699E-5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3.6613014467840097E-5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6.20102283955834E-3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1.3581339000064901E-2</v>
      </c>
      <c r="N1947" s="1"/>
    </row>
    <row r="1948" spans="2:14" x14ac:dyDescent="0.35">
      <c r="B1948" s="5" t="str">
        <f t="shared" si="2034"/>
        <v>SPS1</v>
      </c>
      <c r="C1948" s="5" t="str">
        <f t="shared" si="2035"/>
        <v>CH</v>
      </c>
      <c r="D1948" t="s">
        <v>1965</v>
      </c>
      <c r="E1948" t="str">
        <f t="shared" si="2036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2.58799254823319E-6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7.8478861949893594E-6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1.19214842924732E-5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1.00342957066579E-5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1.2499001626074101E-5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9.4287576049975306E-6</v>
      </c>
      <c r="N1948" s="1"/>
    </row>
    <row r="1949" spans="2:14" x14ac:dyDescent="0.35">
      <c r="B1949" s="5" t="str">
        <f t="shared" si="2034"/>
        <v>SPS1</v>
      </c>
      <c r="C1949" s="5" t="str">
        <f t="shared" si="2035"/>
        <v>CH</v>
      </c>
      <c r="D1949" t="s">
        <v>1966</v>
      </c>
      <c r="E1949" t="str">
        <f t="shared" si="2036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4"/>
        <v>SPS1</v>
      </c>
      <c r="C1950" s="5" t="str">
        <f t="shared" si="2035"/>
        <v>CH</v>
      </c>
      <c r="D1950" t="s">
        <v>1967</v>
      </c>
      <c r="E1950" t="str">
        <f t="shared" si="2036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2.5600090772638596E-4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1.5551100563001793E-4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1.5568106968583871E-4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1.2790862718035483E-5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3.6433989453217281E-6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2.0423777993783736E-6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1.30508944683898E-6</v>
      </c>
      <c r="N1950" s="1"/>
    </row>
    <row r="1951" spans="2:14" x14ac:dyDescent="0.35">
      <c r="B1951" s="5" t="str">
        <f t="shared" si="2034"/>
        <v>SPS1</v>
      </c>
      <c r="C1951" s="5" t="str">
        <f t="shared" si="2035"/>
        <v>CH</v>
      </c>
      <c r="D1951" t="s">
        <v>1968</v>
      </c>
      <c r="E1951" t="str">
        <f t="shared" si="2036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2.688362739561594E-3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2.2743888788403087E-3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2.2454748078382736E-3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9.605012979854808E-6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2.7026738022501356E-6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2.7442347177250106E-6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1.6174344191895901E-6</v>
      </c>
      <c r="N1951" s="1"/>
    </row>
    <row r="1952" spans="2:14" x14ac:dyDescent="0.35">
      <c r="B1952" s="5" t="str">
        <f t="shared" si="2034"/>
        <v>SPS1</v>
      </c>
      <c r="C1952" s="5" t="str">
        <f t="shared" si="2035"/>
        <v>CH</v>
      </c>
      <c r="D1952" t="s">
        <v>1969</v>
      </c>
      <c r="E1952" t="str">
        <f t="shared" si="2036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1.5099906590571878E-4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1.5913757281716092E-4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1.5876622821205604E-4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1.8368011488094151E-5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6.3343774259590408E-6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4.9092707584819471E-6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3.0018136619071601E-6</v>
      </c>
      <c r="N1952" s="1"/>
    </row>
    <row r="1953" spans="2:14" x14ac:dyDescent="0.35">
      <c r="B1953" s="5" t="str">
        <f t="shared" si="2034"/>
        <v>SPS1</v>
      </c>
      <c r="C1953" s="5" t="str">
        <f t="shared" si="2035"/>
        <v>CH</v>
      </c>
      <c r="D1953" t="s">
        <v>1970</v>
      </c>
      <c r="E1953" t="str">
        <f t="shared" si="2036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2.5344813555673996E-3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2.35973853981898E-3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7.0232111551468517E-6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5.3923933626997861E-6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6.3348642987571797E-6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5.9449120121432896E-6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5.7181519190128292</v>
      </c>
      <c r="G1954" s="3">
        <f t="shared" ref="G1954:K1954" si="2037">SUM(G1955:G1977)</f>
        <v>5.6800298469073986</v>
      </c>
      <c r="H1954" s="3">
        <f t="shared" si="2037"/>
        <v>5.8290743139636412</v>
      </c>
      <c r="I1954" s="3">
        <f t="shared" si="2037"/>
        <v>6.5691249805439087</v>
      </c>
      <c r="J1954" s="3">
        <f t="shared" si="2037"/>
        <v>6.8336516618220999</v>
      </c>
      <c r="K1954" s="3">
        <f t="shared" si="2037"/>
        <v>7.1758076573003162</v>
      </c>
      <c r="L1954" s="3">
        <f t="shared" ref="L1954" si="2038">SUM(L1955:L1977)</f>
        <v>7.8515954221415614</v>
      </c>
      <c r="N1954" s="1"/>
    </row>
    <row r="1955" spans="2:14" x14ac:dyDescent="0.35">
      <c r="B1955" s="5" t="str">
        <f t="shared" ref="B1955:B1977" si="2039">B1954</f>
        <v>SPS1</v>
      </c>
      <c r="C1955" s="5" t="str">
        <f t="shared" ref="C1955:C1977" si="2040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9"/>
        <v>SPS1</v>
      </c>
      <c r="C1956" s="5" t="str">
        <f t="shared" si="2040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7.1016019372068841E-3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1.5565509122354956E-2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2.5529858152837224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2.6421075244587104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2.8058226375806821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1.1902582635987211</v>
      </c>
      <c r="N1956" s="1"/>
    </row>
    <row r="1957" spans="2:14" x14ac:dyDescent="0.35">
      <c r="B1957" s="5" t="str">
        <f t="shared" si="2039"/>
        <v>SPS1</v>
      </c>
      <c r="C1957" s="5" t="str">
        <f t="shared" si="2040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7.820058425876927E-3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1.188582361780465E-2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1.6057448439340649E-2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0.74722772860341968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0.77997003377699003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0.81300351388437597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0.86974110120949599</v>
      </c>
      <c r="N1957" s="1"/>
    </row>
    <row r="1958" spans="2:14" x14ac:dyDescent="0.35">
      <c r="B1958" s="5" t="str">
        <f t="shared" si="2039"/>
        <v>SPS1</v>
      </c>
      <c r="C1958" s="5" t="str">
        <f t="shared" si="2040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2.6377068004953628E-2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3.9690668926246064E-2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4.009458563461122E-2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1.7111135631963703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1.4487489589780289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1.2519069686814899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2.8107547679859102</v>
      </c>
      <c r="N1958" s="1"/>
    </row>
    <row r="1959" spans="2:14" x14ac:dyDescent="0.35">
      <c r="B1959" s="5" t="str">
        <f t="shared" si="2039"/>
        <v>SPS1</v>
      </c>
      <c r="C1959" s="5" t="str">
        <f t="shared" si="2040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2.7795086897221001E-4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2.0084412177570886E-4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2.5328473248036407E-4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1.168895304529788E-4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7.345809956190279E-5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8.7911204036346201E-5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3.8589130238579205E-5</v>
      </c>
      <c r="N1959" s="1"/>
    </row>
    <row r="1960" spans="2:14" x14ac:dyDescent="0.35">
      <c r="B1960" s="5" t="str">
        <f t="shared" si="2039"/>
        <v>SPS1</v>
      </c>
      <c r="C1960" s="5" t="str">
        <f t="shared" si="2040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1.08702788326137E-5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1.3687874844933499E-5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2.4244227178914498E-6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39"/>
        <v>SPS1</v>
      </c>
      <c r="C1961" s="5" t="str">
        <f t="shared" si="2040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9"/>
        <v>SPS1</v>
      </c>
      <c r="C1962" s="5" t="str">
        <f t="shared" si="2040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1.04212997327227E-5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9"/>
        <v>SPS1</v>
      </c>
      <c r="C1963" s="5" t="str">
        <f t="shared" si="2040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9"/>
        <v>SPS1</v>
      </c>
      <c r="C1964" s="5" t="str">
        <f t="shared" si="2040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0.64370296065702992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0.64435305530195297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4.6463631685493469E-4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7.3389462197723308E-4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1.0043630265285199E-3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1.98780177857074</v>
      </c>
      <c r="N1964" s="1"/>
    </row>
    <row r="1965" spans="2:14" x14ac:dyDescent="0.35">
      <c r="B1965" s="5" t="str">
        <f t="shared" si="2039"/>
        <v>SPS1</v>
      </c>
      <c r="C1965" s="5" t="str">
        <f t="shared" si="2040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7.70802518485074E-4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1.0434172177505299E-3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5.3539743581189391E-4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4.7580162180020896E-4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5.9067880393473104E-4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5.6122655986867406E-4</v>
      </c>
      <c r="N1965" s="1"/>
    </row>
    <row r="1966" spans="2:14" x14ac:dyDescent="0.35">
      <c r="B1966" s="5" t="str">
        <f t="shared" si="2039"/>
        <v>SPS1</v>
      </c>
      <c r="C1966" s="5" t="str">
        <f t="shared" si="2040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4.2188772436559198E-2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0.87685325833195904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1.5564893900130599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1.9615168336910702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2.3033891596965503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0.99243969508658603</v>
      </c>
      <c r="N1966" s="1"/>
    </row>
    <row r="1967" spans="2:14" x14ac:dyDescent="0.35">
      <c r="B1967" s="5" t="str">
        <f t="shared" si="2039"/>
        <v>SPS1</v>
      </c>
      <c r="C1967" s="5" t="str">
        <f t="shared" si="2040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39"/>
        <v>SPS1</v>
      </c>
      <c r="C1968" s="5" t="str">
        <f t="shared" si="2040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9"/>
        <v>SPS1</v>
      </c>
      <c r="C1969" s="5" t="str">
        <f t="shared" si="2040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5.2181227309386425E-3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0.52510642038994138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1.2309169790836617E-4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2.6966849750410457E-6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0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39"/>
        <v>SPS1</v>
      </c>
      <c r="C1970" s="5" t="str">
        <f t="shared" si="2040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0.18448915608925698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0.22466891402464653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0.37867198520212403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3.3021218859329363E-7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9"/>
        <v>SPS1</v>
      </c>
      <c r="C1971" s="5" t="str">
        <f t="shared" si="2040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0.80670702998663346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0.95295726056209373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0.95309400434256952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9"/>
        <v>SPS1</v>
      </c>
      <c r="C1972" s="5" t="str">
        <f t="shared" si="2040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2.5446008978227989E-3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1.5870815831992859E-6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3.5915141427019507E-5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9"/>
        <v>SPS1</v>
      </c>
      <c r="C1973" s="5" t="str">
        <f t="shared" si="2040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9"/>
        <v>SPS1</v>
      </c>
      <c r="C1974" s="5" t="str">
        <f t="shared" si="2040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1.7232560978732499E-4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8.7345900045946302E-4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2.4443673482875015E-5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5.1615654303509842E-6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0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0</v>
      </c>
      <c r="N1974" s="1"/>
    </row>
    <row r="1975" spans="2:14" x14ac:dyDescent="0.35">
      <c r="B1975" s="5" t="str">
        <f t="shared" si="2039"/>
        <v>SPS1</v>
      </c>
      <c r="C1975" s="5" t="str">
        <f t="shared" si="2040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7.7311389224089989E-5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3.2314754534166205E-2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9.6225926898995296E-6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3.2802365223011842E-6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9"/>
        <v>SPS1</v>
      </c>
      <c r="C1976" s="5" t="str">
        <f t="shared" si="2040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3.1911862628051997E-5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1.56629427878651E-4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1.3110621570967988E-5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9"/>
        <v>SPS1</v>
      </c>
      <c r="C1977" s="5" t="str">
        <f t="shared" si="2040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2.8462149029230392</v>
      </c>
      <c r="G1978" s="3">
        <f t="shared" ref="G1978" si="2041">SUM(G1979:G2001)</f>
        <v>2.9057232466063581</v>
      </c>
      <c r="H1978" s="3">
        <f t="shared" ref="H1978" si="2042">SUM(H1979:H2001)</f>
        <v>2.8850230089218734</v>
      </c>
      <c r="I1978" s="3">
        <f t="shared" ref="I1978" si="2043">SUM(I1979:I2001)</f>
        <v>2.9274375799841934</v>
      </c>
      <c r="J1978" s="3">
        <f t="shared" ref="J1978" si="2044">SUM(J1979:J2001)</f>
        <v>2.9515143536082409</v>
      </c>
      <c r="K1978" s="3">
        <f t="shared" ref="K1978:L1978" si="2045">SUM(K1979:K2001)</f>
        <v>2.928169504183125</v>
      </c>
      <c r="L1978" s="3">
        <f t="shared" si="2045"/>
        <v>2.9934803773710961</v>
      </c>
      <c r="N1978" s="1"/>
    </row>
    <row r="1979" spans="2:14" x14ac:dyDescent="0.35">
      <c r="B1979" s="5" t="str">
        <f t="shared" ref="B1979:B2001" si="2046">B1978</f>
        <v>SPS1</v>
      </c>
      <c r="C1979" s="5" t="str">
        <f t="shared" ref="C1979:C2001" si="2047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6"/>
        <v>SPS1</v>
      </c>
      <c r="C1980" s="5" t="str">
        <f t="shared" si="2047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7.509702606894683E-3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7.0337138419204409E-3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1.4106086728568805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1.3238986992454129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0.875906699389986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0.52304215917597108</v>
      </c>
      <c r="N1980" s="1"/>
    </row>
    <row r="1981" spans="2:14" x14ac:dyDescent="0.35">
      <c r="B1981" s="5" t="str">
        <f t="shared" si="2046"/>
        <v>SPS1</v>
      </c>
      <c r="C1981" s="5" t="str">
        <f t="shared" si="2047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9.6046427002415297E-3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1.3320241699319089E-2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1.3931571107057639E-2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0.48833900596454655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0.52251414843849353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0.96906025170358945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1.13318819848455</v>
      </c>
      <c r="N1981" s="1"/>
    </row>
    <row r="1982" spans="2:14" x14ac:dyDescent="0.35">
      <c r="B1982" s="5" t="str">
        <f t="shared" si="2046"/>
        <v>SPS1</v>
      </c>
      <c r="C1982" s="5" t="str">
        <f t="shared" si="2047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1.4143376381382643E-3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3.4205050352181052E-3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3.6272716638266595E-3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2.6481129674395879E-3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2.0372267564496599E-3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3.4258155894630604E-3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0.19218920711880302</v>
      </c>
      <c r="N1982" s="1"/>
    </row>
    <row r="1983" spans="2:14" x14ac:dyDescent="0.35">
      <c r="B1983" s="5" t="str">
        <f t="shared" si="2046"/>
        <v>SPS1</v>
      </c>
      <c r="C1983" s="5" t="str">
        <f t="shared" si="2047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7.1498864964499099E-5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1.32582855814337E-4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1.260222427444706E-4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7.3099534126559889E-5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9.9492753558109496E-5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4.0063753766007597E-5</v>
      </c>
      <c r="N1983" s="1"/>
    </row>
    <row r="1984" spans="2:14" x14ac:dyDescent="0.35">
      <c r="B1984" s="5" t="str">
        <f t="shared" si="2046"/>
        <v>SPS1</v>
      </c>
      <c r="C1984" s="5" t="str">
        <f t="shared" si="2047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46"/>
        <v>SPS1</v>
      </c>
      <c r="C1985" s="5" t="str">
        <f t="shared" si="2047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6"/>
        <v>SPS1</v>
      </c>
      <c r="C1986" s="5" t="str">
        <f t="shared" si="2047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6"/>
        <v>SPS1</v>
      </c>
      <c r="C1987" s="5" t="str">
        <f t="shared" si="2047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6"/>
        <v>SPS1</v>
      </c>
      <c r="C1988" s="5" t="str">
        <f t="shared" si="2047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9.440529907058761E-3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1.0322759642718801E-2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2.1931152347667605E-3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0.11042076187482501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0.53426304737555497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0.99284232712107012</v>
      </c>
      <c r="N1988" s="1"/>
    </row>
    <row r="1989" spans="2:14" x14ac:dyDescent="0.35">
      <c r="B1989" s="5" t="str">
        <f t="shared" si="2046"/>
        <v>SPS1</v>
      </c>
      <c r="C1989" s="5" t="str">
        <f t="shared" si="2047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4.3359440283696602E-4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0.16737432730173898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0.75927382150901801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0.72730337844284421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0.28139202067796898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8.4031539939623909E-2</v>
      </c>
      <c r="N1989" s="1"/>
    </row>
    <row r="1990" spans="2:14" x14ac:dyDescent="0.35">
      <c r="B1990" s="5" t="str">
        <f t="shared" si="2046"/>
        <v>SPS1</v>
      </c>
      <c r="C1990" s="5" t="str">
        <f t="shared" si="2047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1.90410175141714E-4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6.8020984765794395E-3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0.26419810514466602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0.26526090700669103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0.26402217669300498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6.8146881777311694E-2</v>
      </c>
      <c r="N1990" s="1"/>
    </row>
    <row r="1991" spans="2:14" x14ac:dyDescent="0.35">
      <c r="B1991" s="5" t="str">
        <f t="shared" si="2046"/>
        <v>SPS1</v>
      </c>
      <c r="C1991" s="5" t="str">
        <f t="shared" si="2047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1.5637310109677398E-5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2.94246957433085E-5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2.85705812161393E-5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46"/>
        <v>SPS1</v>
      </c>
      <c r="C1992" s="5" t="str">
        <f t="shared" si="2047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6"/>
        <v>SPS1</v>
      </c>
      <c r="C1993" s="5" t="str">
        <f t="shared" si="2047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0.84768556901466485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1.050501140602619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1.6621737710043527E-6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6"/>
        <v>SPS1</v>
      </c>
      <c r="C1994" s="5" t="str">
        <f t="shared" si="2047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0.76497523261002109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0.76540645436017429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1.3728750144693924E-6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6"/>
        <v>SPS1</v>
      </c>
      <c r="C1995" s="5" t="str">
        <f t="shared" si="2047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0.19441451339396482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0.19188004626563696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0.19204307620599703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6"/>
        <v>SPS1</v>
      </c>
      <c r="C1996" s="5" t="str">
        <f t="shared" si="2047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1.0717708677914802E-2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4.6535919780300156E-5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6.1708380493801667E-5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6"/>
        <v>SPS1</v>
      </c>
      <c r="C1997" s="5" t="str">
        <f t="shared" si="2047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6"/>
        <v>SPS1</v>
      </c>
      <c r="C1998" s="5" t="str">
        <f t="shared" si="2047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1.7999395863691002E-4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6.9353901352695805E-4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3.4565885119549886E-6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1.633879396014013E-6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6"/>
        <v>SPS1</v>
      </c>
      <c r="C1999" s="5" t="str">
        <f t="shared" si="2047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7.5911905366828612E-5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3.58633350197103E-4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3.4810599776910141E-6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1.4633812155444975E-6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6"/>
        <v>SPS1</v>
      </c>
      <c r="C2000" s="5" t="str">
        <f t="shared" si="2047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4.3222674324862402E-5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1.7290053595011101E-4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7.7722999537640189E-6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6"/>
        <v>SPS1</v>
      </c>
      <c r="C2001" s="5" t="str">
        <f t="shared" si="2047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1.01729772787622E-5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7.4435344730010105E-6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399.86529380170487</v>
      </c>
      <c r="G2002" s="3">
        <f t="shared" ref="G2002:K2002" si="2048">SUM(G2003:G2011)</f>
        <v>399.40175158474835</v>
      </c>
      <c r="H2002" s="3">
        <f t="shared" si="2048"/>
        <v>406.56967899121651</v>
      </c>
      <c r="I2002" s="3">
        <f t="shared" si="2048"/>
        <v>418.51650166520136</v>
      </c>
      <c r="J2002" s="3">
        <f t="shared" si="2048"/>
        <v>442.41961638456326</v>
      </c>
      <c r="K2002" s="3">
        <f t="shared" si="2048"/>
        <v>466.32535071977196</v>
      </c>
      <c r="L2002" s="3">
        <f t="shared" ref="L2002" si="2049">SUM(L2003:L2011)</f>
        <v>504.95312536346995</v>
      </c>
      <c r="N2002" s="1"/>
    </row>
    <row r="2003" spans="2:14" x14ac:dyDescent="0.35">
      <c r="B2003" s="5" t="str">
        <f t="shared" ref="B2003:B2011" si="2050">B2002</f>
        <v>SPS1</v>
      </c>
      <c r="C2003" s="5" t="str">
        <f t="shared" ref="C2003:C2011" si="2051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50"/>
        <v>SPS1</v>
      </c>
      <c r="C2004" s="5" t="str">
        <f t="shared" si="2051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1.6989478871528727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3.7475470895387195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14.6998802958437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59.701933688520668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163.82398558401701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316.32712914264198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338.96765918454503</v>
      </c>
      <c r="N2004" s="1"/>
    </row>
    <row r="2005" spans="2:14" x14ac:dyDescent="0.35">
      <c r="B2005" s="5" t="str">
        <f t="shared" si="2050"/>
        <v>SPS1</v>
      </c>
      <c r="C2005" s="5" t="str">
        <f t="shared" si="2051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7.4094467171562594E-4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3.05218191360139E-4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2.4144093444010401E-4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2.2410922241178699E-4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2.24361733836964E-4</v>
      </c>
      <c r="N2005" s="1"/>
    </row>
    <row r="2006" spans="2:14" x14ac:dyDescent="0.35">
      <c r="B2006" s="5" t="str">
        <f t="shared" si="2050"/>
        <v>SPS1</v>
      </c>
      <c r="C2006" s="5" t="str">
        <f t="shared" si="2051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50"/>
        <v>SPS1</v>
      </c>
      <c r="C2007" s="5" t="str">
        <f t="shared" si="2051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12.434931894382466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14.158079798744417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26.539065987467698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47.59858336271769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69.369651815713311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40.391239594780203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40.408641341711501</v>
      </c>
      <c r="N2007" s="1"/>
    </row>
    <row r="2008" spans="2:14" x14ac:dyDescent="0.35">
      <c r="B2008" s="5" t="str">
        <f t="shared" si="2050"/>
        <v>SPS1</v>
      </c>
      <c r="C2008" s="5" t="str">
        <f t="shared" si="2051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50"/>
        <v>SPS1</v>
      </c>
      <c r="C2009" s="5" t="str">
        <f t="shared" si="2051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106.16892279361514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125.16243932127185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125.18010074978466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70.887151187715901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3.77783462561831E-2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2.7422423265894998E-2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9.9704386859070793E-3</v>
      </c>
      <c r="N2009" s="1"/>
    </row>
    <row r="2010" spans="2:14" x14ac:dyDescent="0.35">
      <c r="B2010" s="5" t="str">
        <f t="shared" si="2050"/>
        <v>SPS1</v>
      </c>
      <c r="C2010" s="5" t="str">
        <f t="shared" si="2051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53.453351324565503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148.02568234340899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209.18551881469699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109.576943584234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125.56433232882699</v>
      </c>
      <c r="N2010" s="1"/>
    </row>
    <row r="2011" spans="2:14" x14ac:dyDescent="0.35">
      <c r="B2011" s="5" t="str">
        <f t="shared" si="2050"/>
        <v>SPS1</v>
      </c>
      <c r="C2011" s="5" t="str">
        <f t="shared" si="2051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2.6674912265543957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2.5161104672493697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2.0998730222165327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4.512531313408499E-3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2.4403829453330901E-3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2.3918656274610757E-3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2.2977079666196905E-3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41.455646665622766</v>
      </c>
      <c r="G2012" s="3">
        <f t="shared" ref="G2012" si="2052">SUM(G2013:G2021)</f>
        <v>43.007447908895003</v>
      </c>
      <c r="H2012" s="3">
        <f t="shared" ref="H2012" si="2053">SUM(H2013:H2021)</f>
        <v>43.440733809413885</v>
      </c>
      <c r="I2012" s="3">
        <f t="shared" ref="I2012" si="2054">SUM(I2013:I2021)</f>
        <v>45.246258490557047</v>
      </c>
      <c r="J2012" s="3">
        <f t="shared" ref="J2012" si="2055">SUM(J2013:J2021)</f>
        <v>47.213475819536512</v>
      </c>
      <c r="K2012" s="3">
        <f t="shared" ref="K2012:L2012" si="2056">SUM(K2013:K2021)</f>
        <v>49.180719592932405</v>
      </c>
      <c r="L2012" s="3">
        <f t="shared" si="2056"/>
        <v>53.143781347134322</v>
      </c>
      <c r="N2012" s="1"/>
    </row>
    <row r="2013" spans="2:14" x14ac:dyDescent="0.35">
      <c r="B2013" s="5" t="str">
        <f t="shared" ref="B2013:B2021" si="2057">B2012</f>
        <v>SPS1</v>
      </c>
      <c r="C2013" s="5" t="str">
        <f t="shared" ref="C2013:C2021" si="205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7"/>
        <v>SPS1</v>
      </c>
      <c r="C2014" s="5" t="str">
        <f t="shared" si="205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0.12600922027655731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0.1212204188182948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3.1619947487766503E-2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1.4659124679410902E-3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1.5863747195383401E-3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1.93146748373175E-3</v>
      </c>
      <c r="N2014" s="1"/>
    </row>
    <row r="2015" spans="2:14" x14ac:dyDescent="0.35">
      <c r="B2015" s="5" t="str">
        <f t="shared" si="2057"/>
        <v>SPS1</v>
      </c>
      <c r="C2015" s="5" t="str">
        <f t="shared" si="205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1.0029667552528959E-2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6.5080999701431521E-4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7.3369592609526929E-4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3.8822324458933244E-4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1.9330860408401201E-4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2.0342774906854298E-4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1.9061598249180199E-4</v>
      </c>
      <c r="N2015" s="1"/>
    </row>
    <row r="2016" spans="2:14" x14ac:dyDescent="0.35">
      <c r="B2016" s="5" t="str">
        <f t="shared" si="2057"/>
        <v>SPS1</v>
      </c>
      <c r="C2016" s="5" t="str">
        <f t="shared" si="205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7"/>
        <v>SPS1</v>
      </c>
      <c r="C2017" s="5" t="str">
        <f t="shared" si="205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7"/>
        <v>SPS1</v>
      </c>
      <c r="C2018" s="5" t="str">
        <f t="shared" si="205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7"/>
        <v>SPS1</v>
      </c>
      <c r="C2019" s="5" t="str">
        <f t="shared" si="205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11.609616998070234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10.729235724586882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9.6966868444705234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0.98129986467042762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7.4388234684133003E-4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1.0841913139253299E-3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3.3122487540517801E-4</v>
      </c>
      <c r="N2019" s="1"/>
    </row>
    <row r="2020" spans="2:14" x14ac:dyDescent="0.35">
      <c r="B2020" s="5" t="str">
        <f t="shared" si="2057"/>
        <v>SPS1</v>
      </c>
      <c r="C2020" s="5" t="str">
        <f t="shared" si="205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13.836190885958001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34.334376477480298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47.209564541119697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49.176332959492896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53.139814505741199</v>
      </c>
      <c r="N2020" s="1"/>
    </row>
    <row r="2021" spans="2:14" x14ac:dyDescent="0.35">
      <c r="B2021" s="5" t="str">
        <f t="shared" si="2057"/>
        <v>SPS1</v>
      </c>
      <c r="C2021" s="5" t="str">
        <f t="shared" si="205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1.1229651511720411E-2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1.1235297574274708E-2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1.1240644340637101E-2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1.50817499795083E-3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1.51263965697761E-3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1.5135330514902501E-3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9">SUM(F2023,F2027,F2030)</f>
        <v>1.5806548997101099E-4</v>
      </c>
      <c r="G2022" s="3">
        <f t="shared" ref="G2022" si="2060">SUM(G2023,G2027,G2030)</f>
        <v>1.5872155008966548E-4</v>
      </c>
      <c r="H2022" s="3">
        <f t="shared" ref="H2022" si="2061">SUM(H2023,H2027,H2030)</f>
        <v>1.6022122984022061E-4</v>
      </c>
      <c r="I2022" s="3">
        <f t="shared" ref="I2022" si="2062">SUM(I2023,I2027,I2030)</f>
        <v>3.955440907544517E-4</v>
      </c>
      <c r="J2022" s="3">
        <f t="shared" ref="J2022" si="2063">SUM(J2023,J2027,J2030)</f>
        <v>3.2305407273305274E-4</v>
      </c>
      <c r="K2022" s="3">
        <f t="shared" ref="K2022:L2022" si="2064">SUM(K2023,K2027,K2030)</f>
        <v>5.4442591986050783E-4</v>
      </c>
      <c r="L2022" s="3">
        <f t="shared" si="2064"/>
        <v>2.4948227757860746E-2</v>
      </c>
      <c r="N2022" s="1"/>
    </row>
    <row r="2023" spans="2:14" x14ac:dyDescent="0.35">
      <c r="B2023" s="5" t="str">
        <f t="shared" ref="B2023:B2032" si="2065">B2022</f>
        <v>SPS1</v>
      </c>
      <c r="C2023" s="5" t="str">
        <f t="shared" ref="C2023:C2032" si="2066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1.5806548997101099E-4</v>
      </c>
      <c r="G2023" s="1" cm="1">
        <f t="array" ref="G2023">SUMPRODUCT(ISNUMBER(SEARCH("SUP_ELCH2*",[1]OUT_SyntheticFuels!$C$4:$C$1000))*1,("Var_cap"=[1]OUT_SyntheticFuels!$B$4:$B$1000)*1,[1]OUT_SyntheticFuels!F$4:F$1000)</f>
        <v>1.5872155008966548E-4</v>
      </c>
      <c r="H2023" s="1" cm="1">
        <f t="array" ref="H2023">SUMPRODUCT(ISNUMBER(SEARCH("SUP_ELCH2*",[1]OUT_SyntheticFuels!$C$4:$C$1000))*1,("Var_cap"=[1]OUT_SyntheticFuels!$B$4:$B$1000)*1,[1]OUT_SyntheticFuels!G$4:G$1000)</f>
        <v>1.6022122984022061E-4</v>
      </c>
      <c r="I2023" s="1" cm="1">
        <f t="array" ref="I2023">SUMPRODUCT(ISNUMBER(SEARCH("SUP_ELCH2*",[1]OUT_SyntheticFuels!$C$4:$C$1000))*1,("Var_cap"=[1]OUT_SyntheticFuels!$B$4:$B$1000)*1,[1]OUT_SyntheticFuels!H$4:H$1000)</f>
        <v>3.9544177360865105E-4</v>
      </c>
      <c r="J2023" s="1" cm="1">
        <f t="array" ref="J2023">SUMPRODUCT(ISNUMBER(SEARCH("SUP_ELCH2*",[2]OUT_SyntheticFuels!$C$4:$C$1000))*1,("Var_cap"=[2]OUT_SyntheticFuels!$B$4:$B$1000)*1,[2]OUT_SyntheticFuels!I$4:I$1000)</f>
        <v>3.2293801461802434E-4</v>
      </c>
      <c r="K2023" s="1" cm="1">
        <f t="array" ref="K2023">SUMPRODUCT(ISNUMBER(SEARCH("SUP_ELCH2*",[2]OUT_SyntheticFuels!$C$4:$C$1000))*1,("Var_cap"=[2]OUT_SyntheticFuels!$B$4:$B$1000)*1,[2]OUT_SyntheticFuels!J$4:J$1000)</f>
        <v>5.4433353944890279E-4</v>
      </c>
      <c r="L2023" s="1" cm="1">
        <f t="array" ref="L2023">SUMPRODUCT(ISNUMBER(SEARCH("SUP_ELCH2*",[2]OUT_SyntheticFuels!$C$4:$C$1000))*1,("Var_cap"=[2]OUT_SyntheticFuels!$B$4:$B$1000)*1,[2]OUT_SyntheticFuels!K$4:K$1000)</f>
        <v>2.4932721472997414E-2</v>
      </c>
      <c r="N2023" s="1"/>
    </row>
    <row r="2024" spans="2:14" x14ac:dyDescent="0.35">
      <c r="B2024" s="5" t="str">
        <f t="shared" si="2065"/>
        <v>SPS1</v>
      </c>
      <c r="C2024" s="5" t="str">
        <f t="shared" si="2066"/>
        <v>CH</v>
      </c>
      <c r="D2024" t="s">
        <v>2145</v>
      </c>
      <c r="E2024" t="s">
        <v>2154</v>
      </c>
      <c r="F2024" s="1">
        <f t="shared" ref="F2024" si="2067">F2023-F2025-F2026</f>
        <v>1.5806548997101099E-4</v>
      </c>
      <c r="G2024" s="1">
        <f t="shared" ref="G2024" si="2068">G2023-G2025-G2026</f>
        <v>1.5872155008966548E-4</v>
      </c>
      <c r="H2024" s="1">
        <f t="shared" ref="H2024" si="2069">H2023-H2025-H2026</f>
        <v>1.6022122984022061E-4</v>
      </c>
      <c r="I2024" s="1">
        <f t="shared" ref="I2024" si="2070">I2023-I2025-I2026</f>
        <v>3.9322020502506692E-4</v>
      </c>
      <c r="J2024" s="1">
        <f t="shared" ref="J2024" si="2071">J2023-J2025-J2026</f>
        <v>3.204516266321287E-4</v>
      </c>
      <c r="K2024" s="1">
        <f t="shared" ref="K2024:L2024" si="2072">K2023-K2025-K2026</f>
        <v>4.6608963586265158E-4</v>
      </c>
      <c r="L2024" s="1">
        <f t="shared" si="2072"/>
        <v>2.4857153980140215E-2</v>
      </c>
      <c r="N2024" s="1"/>
    </row>
    <row r="2025" spans="2:14" x14ac:dyDescent="0.35">
      <c r="B2025" s="5" t="str">
        <f t="shared" si="2065"/>
        <v>SPS1</v>
      </c>
      <c r="C2025" s="5" t="str">
        <f t="shared" si="2066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2.2215685835841602E-6</v>
      </c>
      <c r="J2025" s="1" cm="1">
        <f t="array" ref="J2025">SUMPRODUCT(ISNUMBER(SEARCH("SUP_ELCH2*D",[2]OUT_SyntheticFuels!$C$4:$C$1000))*1,("Var_cap"=[2]OUT_SyntheticFuels!$B$4:$B$1000)*1,[2]OUT_SyntheticFuels!I$4:I$1000)</f>
        <v>2.4863879858956501E-6</v>
      </c>
      <c r="K2025" s="1" cm="1">
        <f t="array" ref="K2025">SUMPRODUCT(ISNUMBER(SEARCH("SUP_ELCH2*D",[2]OUT_SyntheticFuels!$C$4:$C$1000))*1,("Var_cap"=[2]OUT_SyntheticFuels!$B$4:$B$1000)*1,[2]OUT_SyntheticFuels!J$4:J$1000)</f>
        <v>2.5523829787453199E-5</v>
      </c>
      <c r="L2025" s="1" cm="1">
        <f t="array" ref="L2025">SUMPRODUCT(ISNUMBER(SEARCH("SUP_ELCH2*D",[2]OUT_SyntheticFuels!$C$4:$C$1000))*1,("Var_cap"=[2]OUT_SyntheticFuels!$B$4:$B$1000)*1,[2]OUT_SyntheticFuels!K$4:K$1000)</f>
        <v>2.6771088553191901E-5</v>
      </c>
      <c r="N2025" s="1"/>
    </row>
    <row r="2026" spans="2:14" x14ac:dyDescent="0.35">
      <c r="B2026" s="5" t="str">
        <f t="shared" si="2065"/>
        <v>SPS1</v>
      </c>
      <c r="C2026" s="5" t="str">
        <f t="shared" si="2066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5.2720073798798002E-5</v>
      </c>
      <c r="L2026" s="1" cm="1">
        <f t="array" ref="L2026">SUMPRODUCT(ISNUMBER(SEARCH("SUP_ELCH2*SOEC*",[2]OUT_SyntheticFuels!$C$4:$C$1000))*1,("Var_cap"=[2]OUT_SyntheticFuels!$B$4:$B$1000)*1,[2]OUT_SyntheticFuels!K$4:K$1000)</f>
        <v>4.8796404304006756E-5</v>
      </c>
      <c r="N2026" s="1"/>
    </row>
    <row r="2027" spans="2:14" x14ac:dyDescent="0.35">
      <c r="B2027" s="5" t="str">
        <f t="shared" si="2065"/>
        <v>SPS1</v>
      </c>
      <c r="C2027" s="5" t="str">
        <f t="shared" si="2066"/>
        <v>CH</v>
      </c>
      <c r="D2027" t="s">
        <v>2148</v>
      </c>
      <c r="E2027" t="s">
        <v>2154</v>
      </c>
      <c r="F2027" s="1">
        <f t="shared" ref="F2027" si="2073">SUM(F2028:F2029)</f>
        <v>0</v>
      </c>
      <c r="G2027" s="1">
        <f t="shared" ref="G2027" si="2074">SUM(G2028:G2029)</f>
        <v>0</v>
      </c>
      <c r="H2027" s="1">
        <f t="shared" ref="H2027" si="2075">SUM(H2028:H2029)</f>
        <v>0</v>
      </c>
      <c r="I2027" s="1">
        <f t="shared" ref="I2027" si="2076">SUM(I2028:I2029)</f>
        <v>1.02317145800669E-7</v>
      </c>
      <c r="J2027" s="1">
        <f t="shared" ref="J2027" si="2077">SUM(J2028:J2029)</f>
        <v>1.1605811502838489E-7</v>
      </c>
      <c r="K2027" s="1">
        <f t="shared" ref="K2027:L2027" si="2078">SUM(K2028:K2029)</f>
        <v>9.2380411605008972E-8</v>
      </c>
      <c r="L2027" s="1">
        <f t="shared" si="2078"/>
        <v>1.5506284863333473E-5</v>
      </c>
      <c r="N2027" s="1"/>
    </row>
    <row r="2028" spans="2:14" x14ac:dyDescent="0.35">
      <c r="B2028" s="5" t="str">
        <f t="shared" si="2065"/>
        <v>SPS1</v>
      </c>
      <c r="C2028" s="5" t="str">
        <f t="shared" si="2066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1.02317145800669E-7</v>
      </c>
      <c r="J2028" s="1" cm="1">
        <f t="array" ref="J2028">SUMPRODUCT(ISNUMBER(SEARCH("SUP_NGAH2",[2]OUT_SyntheticFuels!$C$4:$C$1000))*1,("Var_cap"=[2]OUT_SyntheticFuels!$B$4:$B$1000)*1,[2]OUT_SyntheticFuels!I$4:I$1000)-J2029</f>
        <v>1.1605811502838489E-7</v>
      </c>
      <c r="K2028" s="1" cm="1">
        <f t="array" ref="K2028">SUMPRODUCT(ISNUMBER(SEARCH("SUP_NGAH2",[2]OUT_SyntheticFuels!$C$4:$C$1000))*1,("Var_cap"=[2]OUT_SyntheticFuels!$B$4:$B$1000)*1,[2]OUT_SyntheticFuels!J$4:J$1000)-K2029</f>
        <v>9.2380411605008972E-8</v>
      </c>
      <c r="L2028" s="1" cm="1">
        <f t="array" ref="L2028">SUMPRODUCT(ISNUMBER(SEARCH("SUP_NGAH2",[2]OUT_SyntheticFuels!$C$4:$C$1000))*1,("Var_cap"=[2]OUT_SyntheticFuels!$B$4:$B$1000)*1,[2]OUT_SyntheticFuels!K$4:K$1000)-L2029</f>
        <v>1.5506284863333473E-5</v>
      </c>
      <c r="N2028" s="1"/>
    </row>
    <row r="2029" spans="2:14" x14ac:dyDescent="0.35">
      <c r="B2029" s="5" t="str">
        <f t="shared" si="2065"/>
        <v>SPS1</v>
      </c>
      <c r="C2029" s="5" t="str">
        <f t="shared" si="2066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5"/>
        <v>SPS1</v>
      </c>
      <c r="C2030" s="5" t="str">
        <f t="shared" si="2066"/>
        <v>CH</v>
      </c>
      <c r="D2030" t="s">
        <v>2151</v>
      </c>
      <c r="E2030" t="s">
        <v>2154</v>
      </c>
      <c r="F2030" s="1">
        <f t="shared" ref="F2030" si="2079">SUM(F2031:F2032)</f>
        <v>0</v>
      </c>
      <c r="G2030" s="1">
        <f t="shared" ref="G2030" si="2080">SUM(G2031:G2032)</f>
        <v>0</v>
      </c>
      <c r="H2030" s="1">
        <f t="shared" ref="H2030" si="2081">SUM(H2031:H2032)</f>
        <v>0</v>
      </c>
      <c r="I2030" s="1">
        <f t="shared" ref="I2030" si="2082">SUM(I2031:I2032)</f>
        <v>0</v>
      </c>
      <c r="J2030" s="1">
        <f t="shared" ref="J2030" si="2083">SUM(J2031:J2032)</f>
        <v>0</v>
      </c>
      <c r="K2030" s="1">
        <f t="shared" ref="K2030:L2030" si="2084">SUM(K2031:K2032)</f>
        <v>0</v>
      </c>
      <c r="L2030" s="1">
        <f t="shared" si="2084"/>
        <v>0</v>
      </c>
      <c r="N2030" s="1"/>
    </row>
    <row r="2031" spans="2:14" x14ac:dyDescent="0.35">
      <c r="B2031" s="5" t="str">
        <f t="shared" si="2065"/>
        <v>SPS1</v>
      </c>
      <c r="C2031" s="5" t="str">
        <f t="shared" si="2066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5"/>
        <v>SPS1</v>
      </c>
      <c r="C2032" s="5" t="str">
        <f t="shared" si="2066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5">B2033</f>
        <v>SPS1</v>
      </c>
      <c r="C2034" s="5" t="str">
        <f t="shared" ref="C2034:C2049" si="2086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6.2412360827987817E-2</v>
      </c>
      <c r="G2034" s="7" cm="1">
        <f t="array" ref="G2034">SUMPRODUCT(("CT_CWODBDS"=[1]OUT_SyntheticFuels!$C$4:$C$1000)*1,("Var_cap"=[1]OUT_SyntheticFuels!$B$4:$B$1000)*1,[1]OUT_SyntheticFuels!F$4:F$1000)</f>
        <v>6.2412466331608733E-2</v>
      </c>
      <c r="H2034" s="7" cm="1">
        <f t="array" ref="H2034">SUMPRODUCT(("CT_CWODBDS"=[1]OUT_SyntheticFuels!$C$4:$C$1000)*1,("Var_cap"=[1]OUT_SyntheticFuels!$B$4:$B$1000)*1,[1]OUT_SyntheticFuels!G$4:G$1000)</f>
        <v>6.2424026286440948E-2</v>
      </c>
      <c r="I2034" s="7" cm="1">
        <f t="array" ref="I2034">SUMPRODUCT(("CT_CWODBDS"=[1]OUT_SyntheticFuels!$C$4:$C$1000)*1,("Var_cap"=[1]OUT_SyntheticFuels!$B$4:$B$1000)*1,[1]OUT_SyntheticFuels!H$4:H$1000)</f>
        <v>1.4085897002517889E-5</v>
      </c>
      <c r="J2034" s="7" cm="1">
        <f t="array" ref="J2034">SUMPRODUCT(("CT_CWODBDS"=[2]OUT_SyntheticFuels!$C$4:$C$1000)*1,("Var_cap"=[2]OUT_SyntheticFuels!$B$4:$B$1000)*1,[2]OUT_SyntheticFuels!I$4:I$1000)</f>
        <v>4.5105088347773686E-6</v>
      </c>
      <c r="K2034" s="7" cm="1">
        <f t="array" ref="K2034">SUMPRODUCT(("CT_CWODBDS"=[2]OUT_SyntheticFuels!$C$4:$C$1000)*1,("Var_cap"=[2]OUT_SyntheticFuels!$B$4:$B$1000)*1,[2]OUT_SyntheticFuels!J$4:J$1000)</f>
        <v>3.9261381140468464E-6</v>
      </c>
      <c r="L2034" s="7" cm="1">
        <f t="array" ref="L2034">SUMPRODUCT(("CT_CWODBDS"=[2]OUT_SyntheticFuels!$C$4:$C$1000)*1,("Var_cap"=[2]OUT_SyntheticFuels!$B$4:$B$1000)*1,[2]OUT_SyntheticFuels!K$4:K$1000)</f>
        <v>7.2964713355623129E-2</v>
      </c>
      <c r="N2034" s="1"/>
    </row>
    <row r="2035" spans="2:14" x14ac:dyDescent="0.35">
      <c r="B2035" s="5" t="str">
        <f t="shared" si="2085"/>
        <v>SPS1</v>
      </c>
      <c r="C2035" s="5" t="str">
        <f t="shared" si="2086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5"/>
        <v>SPS1</v>
      </c>
      <c r="C2036" s="5" t="str">
        <f t="shared" si="2086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8.5749600343982199E-3</v>
      </c>
      <c r="G2036" s="7" cm="1">
        <f t="array" ref="G2036">SUMPRODUCT(("CT_CWODETH"=[1]OUT_SyntheticFuels!$C$4:$C$1000)*1,("Var_cap"=[1]OUT_SyntheticFuels!$B$4:$B$1000)*1,[1]OUT_SyntheticFuels!F$4:F$1000)</f>
        <v>8.5749329210816159E-3</v>
      </c>
      <c r="H2036" s="7" cm="1">
        <f t="array" ref="H2036">SUMPRODUCT(("CT_CWODETH"=[1]OUT_SyntheticFuels!$C$4:$C$1000)*1,("Var_cap"=[1]OUT_SyntheticFuels!$B$4:$B$1000)*1,[1]OUT_SyntheticFuels!G$4:G$1000)</f>
        <v>8.5750499983268703E-3</v>
      </c>
      <c r="I2036" s="7" cm="1">
        <f t="array" ref="I2036">SUMPRODUCT(("CT_CWODETH"=[1]OUT_SyntheticFuels!$C$4:$C$1000)*1,("Var_cap"=[1]OUT_SyntheticFuels!$B$4:$B$1000)*1,[1]OUT_SyntheticFuels!H$4:H$1000)</f>
        <v>1.0005956951480294E-5</v>
      </c>
      <c r="J2036" s="7" cm="1">
        <f t="array" ref="J2036">SUMPRODUCT(("CT_CWODETH"=[2]OUT_SyntheticFuels!$C$4:$C$1000)*1,("Var_cap"=[2]OUT_SyntheticFuels!$B$4:$B$1000)*1,[2]OUT_SyntheticFuels!I$4:I$1000)</f>
        <v>5.047487138760097E-6</v>
      </c>
      <c r="K2036" s="7" cm="1">
        <f t="array" ref="K2036">SUMPRODUCT(("CT_CWODETH"=[2]OUT_SyntheticFuels!$C$4:$C$1000)*1,("Var_cap"=[2]OUT_SyntheticFuels!$B$4:$B$1000)*1,[2]OUT_SyntheticFuels!J$4:J$1000)</f>
        <v>2.7190370283799135E-6</v>
      </c>
      <c r="L2036" s="7" cm="1">
        <f t="array" ref="L2036">SUMPRODUCT(("CT_CWODETH"=[2]OUT_SyntheticFuels!$C$4:$C$1000)*1,("Var_cap"=[2]OUT_SyntheticFuels!$B$4:$B$1000)*1,[2]OUT_SyntheticFuels!K$4:K$1000)</f>
        <v>3.3502478768504771E-6</v>
      </c>
      <c r="N2036" s="1"/>
    </row>
    <row r="2037" spans="2:14" x14ac:dyDescent="0.35">
      <c r="B2037" s="5" t="str">
        <f t="shared" si="2085"/>
        <v>SPS1</v>
      </c>
      <c r="C2037" s="5" t="str">
        <f t="shared" si="2086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5"/>
        <v>SPS1</v>
      </c>
      <c r="C2038" s="5" t="str">
        <f t="shared" si="2086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4.9292721705983103E-2</v>
      </c>
      <c r="G2038" s="7" cm="1">
        <f t="array" ref="G2038">SUMPRODUCT(("SUP_MNRBIO"=[1]OUT_SyntheticFuels!$C$4:$C$1000)*1,("Var_cap"=[1]OUT_SyntheticFuels!$B$4:$B$1000)*1,[1]OUT_SyntheticFuels!F$4:F$1000)</f>
        <v>0.1568973617117721</v>
      </c>
      <c r="H2038" s="7" cm="1">
        <f t="array" ref="H2038">SUMPRODUCT(("SUP_MNRBIO"=[1]OUT_SyntheticFuels!$C$4:$C$1000)*1,("Var_cap"=[1]OUT_SyntheticFuels!$B$4:$B$1000)*1,[1]OUT_SyntheticFuels!G$4:G$1000)</f>
        <v>0.16239771527616775</v>
      </c>
      <c r="I2038" s="7" cm="1">
        <f t="array" ref="I2038">SUMPRODUCT(("SUP_MNRBIO"=[1]OUT_SyntheticFuels!$C$4:$C$1000)*1,("Var_cap"=[1]OUT_SyntheticFuels!$B$4:$B$1000)*1,[1]OUT_SyntheticFuels!H$4:H$1000)</f>
        <v>0.16239895810788377</v>
      </c>
      <c r="J2038" s="7" cm="1">
        <f t="array" ref="J2038">SUMPRODUCT(("SUP_MNRBIO"=[2]OUT_SyntheticFuels!$C$4:$C$1000)*1,("Var_cap"=[2]OUT_SyntheticFuels!$B$4:$B$1000)*1,[2]OUT_SyntheticFuels!I$4:I$1000)</f>
        <v>0.16239917886323826</v>
      </c>
      <c r="K2038" s="7" cm="1">
        <f t="array" ref="K2038">SUMPRODUCT(("SUP_MNRBIO"=[2]OUT_SyntheticFuels!$C$4:$C$1000)*1,("Var_cap"=[2]OUT_SyntheticFuels!$B$4:$B$1000)*1,[2]OUT_SyntheticFuels!J$4:J$1000)</f>
        <v>0.16241139591009196</v>
      </c>
      <c r="L2038" s="7" cm="1">
        <f t="array" ref="L2038">SUMPRODUCT(("SUP_MNRBIO"=[2]OUT_SyntheticFuels!$C$4:$C$1000)*1,("Var_cap"=[2]OUT_SyntheticFuels!$B$4:$B$1000)*1,[2]OUT_SyntheticFuels!K$4:K$1000)</f>
        <v>0.16241131606394946</v>
      </c>
      <c r="N2038" s="1"/>
    </row>
    <row r="2039" spans="2:14" x14ac:dyDescent="0.35">
      <c r="B2039" s="5" t="str">
        <f t="shared" si="2085"/>
        <v>SPS1</v>
      </c>
      <c r="C2039" s="5" t="str">
        <f t="shared" si="2086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0.21266698410449497</v>
      </c>
      <c r="G2039" s="7" cm="1">
        <f t="array" ref="G2039">SUMPRODUCT(("SUP_WSTBIO"=[1]OUT_SyntheticFuels!$C$4:$C$1000)*1,("Var_cap"=[1]OUT_SyntheticFuels!$B$4:$B$1000)*1,[1]OUT_SyntheticFuels!F$4:F$1000)</f>
        <v>0.23566663943184035</v>
      </c>
      <c r="H2039" s="7" cm="1">
        <f t="array" ref="H2039">SUMPRODUCT(("SUP_WSTBIO"=[1]OUT_SyntheticFuels!$C$4:$C$1000)*1,("Var_cap"=[1]OUT_SyntheticFuels!$B$4:$B$1000)*1,[1]OUT_SyntheticFuels!G$4:G$1000)</f>
        <v>0.23566563443243968</v>
      </c>
      <c r="I2039" s="7" cm="1">
        <f t="array" ref="I2039">SUMPRODUCT(("SUP_WSTBIO"=[1]OUT_SyntheticFuels!$C$4:$C$1000)*1,("Var_cap"=[1]OUT_SyntheticFuels!$B$4:$B$1000)*1,[1]OUT_SyntheticFuels!H$4:H$1000)</f>
        <v>0.23493092197010979</v>
      </c>
      <c r="J2039" s="7" cm="1">
        <f t="array" ref="J2039">SUMPRODUCT(("SUP_WSTBIO"=[2]OUT_SyntheticFuels!$C$4:$C$1000)*1,("Var_cap"=[2]OUT_SyntheticFuels!$B$4:$B$1000)*1,[2]OUT_SyntheticFuels!I$4:I$1000)</f>
        <v>0.2187799028517651</v>
      </c>
      <c r="K2039" s="7" cm="1">
        <f t="array" ref="K2039">SUMPRODUCT(("SUP_WSTBIO"=[2]OUT_SyntheticFuels!$C$4:$C$1000)*1,("Var_cap"=[2]OUT_SyntheticFuels!$B$4:$B$1000)*1,[2]OUT_SyntheticFuels!J$4:J$1000)</f>
        <v>0.21270571674586988</v>
      </c>
      <c r="L2039" s="7" cm="1">
        <f t="array" ref="L2039">SUMPRODUCT(("SUP_WSTBIO"=[2]OUT_SyntheticFuels!$C$4:$C$1000)*1,("Var_cap"=[2]OUT_SyntheticFuels!$B$4:$B$1000)*1,[2]OUT_SyntheticFuels!K$4:K$1000)</f>
        <v>0.20056229029020525</v>
      </c>
      <c r="N2039" s="1"/>
    </row>
    <row r="2040" spans="2:14" x14ac:dyDescent="0.35">
      <c r="B2040" s="5" t="str">
        <f t="shared" si="2085"/>
        <v>SPS1</v>
      </c>
      <c r="C2040" s="5" t="str">
        <f t="shared" si="2086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5"/>
        <v>SPS1</v>
      </c>
      <c r="C2041" s="5" t="str">
        <f t="shared" si="2086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3.2629697138725101E-6</v>
      </c>
      <c r="L2041" s="7" cm="1">
        <f t="array" ref="L2041">SUMPRODUCT(("SUP_WSTHTGBIO"=[2]OUT_SyntheticFuels!$C$4:$C$1000)*1,("Var_cap"=[2]OUT_SyntheticFuels!$B$4:$B$1000)*1,[2]OUT_SyntheticFuels!K$4:K$1000)</f>
        <v>3.2614812059671938E-6</v>
      </c>
      <c r="N2041" s="1"/>
    </row>
    <row r="2042" spans="2:14" x14ac:dyDescent="0.35">
      <c r="B2042" s="5" t="str">
        <f t="shared" si="2085"/>
        <v>SPS1</v>
      </c>
      <c r="C2042" s="5" t="str">
        <f t="shared" si="2086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5"/>
        <v>SPS1</v>
      </c>
      <c r="C2043" s="5" t="str">
        <f t="shared" si="2086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1.6515617230208301E-7</v>
      </c>
      <c r="G2043" s="7" cm="1">
        <f t="array" ref="G2043">SUMPRODUCT(("SUP_WODBIO"=[1]OUT_SyntheticFuels!$C$4:$C$1000)*1,("Var_cap"=[1]OUT_SyntheticFuels!$B$4:$B$1000)*1,[1]OUT_SyntheticFuels!F$4:F$1000)</f>
        <v>7.8620719559958749E-6</v>
      </c>
      <c r="H2043" s="7" cm="1">
        <f t="array" ref="H2043">SUMPRODUCT(("SUP_WODBIO"=[1]OUT_SyntheticFuels!$C$4:$C$1000)*1,("Var_cap"=[1]OUT_SyntheticFuels!$B$4:$B$1000)*1,[1]OUT_SyntheticFuels!G$4:G$1000)</f>
        <v>8.2172281192520185E-6</v>
      </c>
      <c r="I2043" s="7" cm="1">
        <f t="array" ref="I2043">SUMPRODUCT(("SUP_WODBIO"=[1]OUT_SyntheticFuels!$C$4:$C$1000)*1,("Var_cap"=[1]OUT_SyntheticFuels!$B$4:$B$1000)*1,[1]OUT_SyntheticFuels!H$4:H$1000)</f>
        <v>8.2274337796552596E-6</v>
      </c>
      <c r="J2043" s="7" cm="1">
        <f t="array" ref="J2043">SUMPRODUCT(("SUP_WODBIO"=[2]OUT_SyntheticFuels!$C$4:$C$1000)*1,("Var_cap"=[2]OUT_SyntheticFuels!$B$4:$B$1000)*1,[2]OUT_SyntheticFuels!I$4:I$1000)</f>
        <v>5.3770507101979515E-6</v>
      </c>
      <c r="K2043" s="7" cm="1">
        <f t="array" ref="K2043">SUMPRODUCT(("SUP_WODBIO"=[2]OUT_SyntheticFuels!$C$4:$C$1000)*1,("Var_cap"=[2]OUT_SyntheticFuels!$B$4:$B$1000)*1,[2]OUT_SyntheticFuels!J$4:J$1000)</f>
        <v>4.4713429415519933E-6</v>
      </c>
      <c r="L2043" s="7" cm="1">
        <f t="array" ref="L2043">SUMPRODUCT(("SUP_WODBIO"=[2]OUT_SyntheticFuels!$C$4:$C$1000)*1,("Var_cap"=[2]OUT_SyntheticFuels!$B$4:$B$1000)*1,[2]OUT_SyntheticFuels!K$4:K$1000)</f>
        <v>3.2166428354742968E-6</v>
      </c>
      <c r="N2043" s="1"/>
    </row>
    <row r="2044" spans="2:14" x14ac:dyDescent="0.35">
      <c r="B2044" s="5" t="str">
        <f t="shared" si="2085"/>
        <v>SPS1</v>
      </c>
      <c r="C2044" s="5" t="str">
        <f t="shared" si="2086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5"/>
        <v>SPS1</v>
      </c>
      <c r="C2045" s="5" t="str">
        <f t="shared" si="2086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4.2352076827635025E-2</v>
      </c>
      <c r="G2045" s="7" cm="1">
        <f t="array" ref="G2045">SUMPRODUCT(("SUP_BIONGA"=[1]OUT_SyntheticFuels!$C$4:$C$1000)*1,("Var_cap"=[1]OUT_SyntheticFuels!$B$4:$B$1000)*1,[1]OUT_SyntheticFuels!F$4:F$1000)</f>
        <v>0.13933393409159084</v>
      </c>
      <c r="H2045" s="7" cm="1">
        <f t="array" ref="H2045">SUMPRODUCT(("SUP_BIONGA"=[1]OUT_SyntheticFuels!$C$4:$C$1000)*1,("Var_cap"=[1]OUT_SyntheticFuels!$B$4:$B$1000)*1,[1]OUT_SyntheticFuels!G$4:G$1000)</f>
        <v>0.13933287326057262</v>
      </c>
      <c r="I2045" s="7" cm="1">
        <f t="array" ref="I2045">SUMPRODUCT(("SUP_BIONGA"=[1]OUT_SyntheticFuels!$C$4:$C$1000)*1,("Var_cap"=[1]OUT_SyntheticFuels!$B$4:$B$1000)*1,[1]OUT_SyntheticFuels!H$4:H$1000)</f>
        <v>0.13447909596238639</v>
      </c>
      <c r="J2045" s="7" cm="1">
        <f t="array" ref="J2045">SUMPRODUCT(("SUP_BIONGA"=[2]OUT_SyntheticFuels!$C$4:$C$1000)*1,("Var_cap"=[2]OUT_SyntheticFuels!$B$4:$B$1000)*1,[2]OUT_SyntheticFuels!I$4:I$1000)</f>
        <v>0.10370088871493219</v>
      </c>
      <c r="K2045" s="7" cm="1">
        <f t="array" ref="K2045">SUMPRODUCT(("SUP_BIONGA"=[2]OUT_SyntheticFuels!$C$4:$C$1000)*1,("Var_cap"=[2]OUT_SyntheticFuels!$B$4:$B$1000)*1,[2]OUT_SyntheticFuels!J$4:J$1000)</f>
        <v>0.10368737886722589</v>
      </c>
      <c r="L2045" s="7" cm="1">
        <f t="array" ref="L2045">SUMPRODUCT(("SUP_BIONGA"=[2]OUT_SyntheticFuels!$C$4:$C$1000)*1,("Var_cap"=[2]OUT_SyntheticFuels!$B$4:$B$1000)*1,[2]OUT_SyntheticFuels!K$4:K$1000)</f>
        <v>0.10369545698972274</v>
      </c>
      <c r="N2045" s="1"/>
    </row>
    <row r="2046" spans="2:14" x14ac:dyDescent="0.35">
      <c r="B2046" s="5" t="str">
        <f t="shared" si="2085"/>
        <v>SPS1</v>
      </c>
      <c r="C2046" s="5" t="str">
        <f t="shared" si="2086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0.35499975552912671</v>
      </c>
      <c r="G2046" s="7" cm="1">
        <f t="array" ref="G2046">SUMPRODUCT(("CT_CWODPLT"=[1]OUT_SyntheticFuels!$C$4:$C$1000)*1,("Var_cap"=[1]OUT_SyntheticFuels!$B$4:$B$1000)*1,[1]OUT_SyntheticFuels!F$4:F$1000)</f>
        <v>0.40994991267417558</v>
      </c>
      <c r="H2046" s="7" cm="1">
        <f t="array" ref="H2046">SUMPRODUCT(("CT_CWODPLT"=[1]OUT_SyntheticFuels!$C$4:$C$1000)*1,("Var_cap"=[1]OUT_SyntheticFuels!$B$4:$B$1000)*1,[1]OUT_SyntheticFuels!G$4:G$1000)</f>
        <v>0.16920267406230699</v>
      </c>
      <c r="I2046" s="7" cm="1">
        <f t="array" ref="I2046">SUMPRODUCT(("CT_CWODPLT"=[1]OUT_SyntheticFuels!$C$4:$C$1000)*1,("Var_cap"=[1]OUT_SyntheticFuels!$B$4:$B$1000)*1,[1]OUT_SyntheticFuels!H$4:H$1000)</f>
        <v>0.16919959716947897</v>
      </c>
      <c r="J2046" s="7" cm="1">
        <f t="array" ref="J2046">SUMPRODUCT(("CT_CWODPLT"=[2]OUT_SyntheticFuels!$C$4:$C$1000)*1,("Var_cap"=[2]OUT_SyntheticFuels!$B$4:$B$1000)*1,[2]OUT_SyntheticFuels!I$4:I$1000)</f>
        <v>0.17000943948900321</v>
      </c>
      <c r="K2046" s="7" cm="1">
        <f t="array" ref="K2046">SUMPRODUCT(("CT_CWODPLT"=[2]OUT_SyntheticFuels!$C$4:$C$1000)*1,("Var_cap"=[2]OUT_SyntheticFuels!$B$4:$B$1000)*1,[2]OUT_SyntheticFuels!J$4:J$1000)</f>
        <v>0.1932910970938391</v>
      </c>
      <c r="L2046" s="7" cm="1">
        <f t="array" ref="L2046">SUMPRODUCT(("CT_CWODPLT"=[2]OUT_SyntheticFuels!$C$4:$C$1000)*1,("Var_cap"=[2]OUT_SyntheticFuels!$B$4:$B$1000)*1,[2]OUT_SyntheticFuels!K$4:K$1000)</f>
        <v>0.23249860220198804</v>
      </c>
      <c r="N2046" s="1"/>
    </row>
    <row r="2047" spans="2:14" x14ac:dyDescent="0.35">
      <c r="B2047" s="5" t="str">
        <f t="shared" si="2085"/>
        <v>SPS1</v>
      </c>
      <c r="C2047" s="5" t="str">
        <f t="shared" si="2086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2.47139804778945E-7</v>
      </c>
      <c r="J2047" s="7" cm="1">
        <f t="array" ref="J2047">SUMPRODUCT(("SUP_H2NGA"=[2]OUT_SyntheticFuels!$C$4:$C$1000)*1,("Var_cap"=[2]OUT_SyntheticFuels!$B$4:$B$1000)*1,[2]OUT_SyntheticFuels!I$4:I$1000)</f>
        <v>9.3403251660723133E-7</v>
      </c>
      <c r="K2047" s="7" cm="1">
        <f t="array" ref="K2047">SUMPRODUCT(("SUP_H2NGA"=[2]OUT_SyntheticFuels!$C$4:$C$1000)*1,("Var_cap"=[2]OUT_SyntheticFuels!$B$4:$B$1000)*1,[2]OUT_SyntheticFuels!J$4:J$1000)</f>
        <v>8.1733888553436706E-7</v>
      </c>
      <c r="L2047" s="7" cm="1">
        <f t="array" ref="L2047">SUMPRODUCT(("SUP_H2NGA"=[2]OUT_SyntheticFuels!$C$4:$C$1000)*1,("Var_cap"=[2]OUT_SyntheticFuels!$B$4:$B$1000)*1,[2]OUT_SyntheticFuels!K$4:K$1000)</f>
        <v>3.2018685950971404E-7</v>
      </c>
      <c r="N2047" s="1"/>
    </row>
    <row r="2048" spans="2:14" x14ac:dyDescent="0.35">
      <c r="B2048" s="5" t="str">
        <f t="shared" si="2085"/>
        <v>SPS1</v>
      </c>
      <c r="C2048" s="5" t="str">
        <f t="shared" si="2086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1.39743624246969E-7</v>
      </c>
      <c r="J2048" s="7" cm="1">
        <f t="array" ref="J2048">SUMPRODUCT(("SUP_H2DSL"=[2]OUT_SyntheticFuels!$C$4:$C$1000)*1,("Var_cap"=[2]OUT_SyntheticFuels!$B$4:$B$1000)*1,[2]OUT_SyntheticFuels!I$4:I$1000)</f>
        <v>3.6792967402234682E-7</v>
      </c>
      <c r="K2048" s="7" cm="1">
        <f t="array" ref="K2048">SUMPRODUCT(("SUP_H2DSL"=[2]OUT_SyntheticFuels!$C$4:$C$1000)*1,("Var_cap"=[2]OUT_SyntheticFuels!$B$4:$B$1000)*1,[2]OUT_SyntheticFuels!J$4:J$1000)</f>
        <v>2.4775066364903497E-7</v>
      </c>
      <c r="L2048" s="7" cm="1">
        <f t="array" ref="L2048">SUMPRODUCT(("SUP_H2DSL"=[2]OUT_SyntheticFuels!$C$4:$C$1000)*1,("Var_cap"=[2]OUT_SyntheticFuels!$B$4:$B$1000)*1,[2]OUT_SyntheticFuels!K$4:K$1000)</f>
        <v>1.9386547618308699E-7</v>
      </c>
      <c r="N2048" s="1"/>
    </row>
    <row r="2049" spans="2:14" x14ac:dyDescent="0.35">
      <c r="B2049" s="5" t="str">
        <f t="shared" si="2085"/>
        <v>SPS1</v>
      </c>
      <c r="C2049" s="5" t="str">
        <f t="shared" si="2086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1.7441374784926599E-7</v>
      </c>
      <c r="J2049" s="7" cm="1">
        <f t="array" ref="J2049">SUMPRODUCT(("SUP_H2GSL"=[2]OUT_SyntheticFuels!$C$4:$C$1000)*1,("Var_cap"=[2]OUT_SyntheticFuels!$B$4:$B$1000)*1,[2]OUT_SyntheticFuels!I$4:I$1000)</f>
        <v>3.8558567498099082E-7</v>
      </c>
      <c r="K2049" s="7" cm="1">
        <f t="array" ref="K2049">SUMPRODUCT(("SUP_H2GSL"=[2]OUT_SyntheticFuels!$C$4:$C$1000)*1,("Var_cap"=[2]OUT_SyntheticFuels!$B$4:$B$1000)*1,[2]OUT_SyntheticFuels!J$4:J$1000)</f>
        <v>2.9705115308022003E-7</v>
      </c>
      <c r="L2049" s="7" cm="1">
        <f t="array" ref="L2049">SUMPRODUCT(("SUP_H2GSL"=[2]OUT_SyntheticFuels!$C$4:$C$1000)*1,("Var_cap"=[2]OUT_SyntheticFuels!$B$4:$B$1000)*1,[2]OUT_SyntheticFuels!K$4:K$1000)</f>
        <v>1.1538950749968998E-7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7">SUM(F2051,F2053,F2057,F2061,F2077,F2084,F2092,F2094,F2102,F2106,F2100)</f>
        <v>1.334027432296546E-3</v>
      </c>
      <c r="G2050" s="3">
        <f t="shared" si="2087"/>
        <v>8.2982779095938597E-2</v>
      </c>
      <c r="H2050" s="3">
        <f t="shared" si="2087"/>
        <v>5.3468541970323189</v>
      </c>
      <c r="I2050" s="3">
        <f t="shared" si="2087"/>
        <v>2.7190991834226437</v>
      </c>
      <c r="J2050" s="3">
        <f t="shared" si="2087"/>
        <v>2.4364052490075343</v>
      </c>
      <c r="K2050" s="3">
        <f t="shared" si="2087"/>
        <v>4.3765836307693782</v>
      </c>
      <c r="L2050" s="3">
        <f t="shared" ref="L2050" si="2088">SUM(L2051,L2053,L2057,L2061,L2077,L2084,L2092,L2094,L2102,L2106,L2100)</f>
        <v>15.630646748258496</v>
      </c>
      <c r="N2050" s="1"/>
    </row>
    <row r="2051" spans="2:14" x14ac:dyDescent="0.35">
      <c r="B2051" s="5" t="str">
        <f>B2050</f>
        <v>SPS1</v>
      </c>
      <c r="C2051" s="5" t="str">
        <f t="shared" ref="C2051:C2113" si="2089">C2050</f>
        <v>CH</v>
      </c>
      <c r="D2051" t="s">
        <v>2180</v>
      </c>
      <c r="E2051" t="str">
        <f t="shared" ref="E2051:E2082" si="2090">E2050</f>
        <v>GWe/yr.</v>
      </c>
      <c r="F2051" s="1">
        <f t="shared" ref="F2051:L2051" si="2091">+F2052</f>
        <v>0</v>
      </c>
      <c r="G2051" s="1">
        <f t="shared" si="2091"/>
        <v>0</v>
      </c>
      <c r="H2051" s="1">
        <f t="shared" si="2091"/>
        <v>0</v>
      </c>
      <c r="I2051" s="1">
        <f t="shared" si="2091"/>
        <v>0</v>
      </c>
      <c r="J2051" s="1">
        <f t="shared" si="2091"/>
        <v>0</v>
      </c>
      <c r="K2051" s="1">
        <f t="shared" si="2091"/>
        <v>1.4747144625980824</v>
      </c>
      <c r="L2051" s="1">
        <f t="shared" si="2091"/>
        <v>6.179542020095969</v>
      </c>
      <c r="N2051" s="1"/>
    </row>
    <row r="2052" spans="2:14" x14ac:dyDescent="0.35">
      <c r="B2052" s="5" t="str">
        <f t="shared" ref="B2052:B2113" si="2092">B2051</f>
        <v>SPS1</v>
      </c>
      <c r="C2052" s="5" t="str">
        <f t="shared" si="2089"/>
        <v>CH</v>
      </c>
      <c r="D2052" t="s">
        <v>2181</v>
      </c>
      <c r="E2052" t="str">
        <f t="shared" si="2090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1.4747144625980824</v>
      </c>
      <c r="L2052" s="1">
        <f>'[2]Electricity and CHPs_NCAP'!H$14</f>
        <v>6.179542020095969</v>
      </c>
      <c r="N2052" s="1"/>
    </row>
    <row r="2053" spans="2:14" x14ac:dyDescent="0.35">
      <c r="B2053" s="5" t="str">
        <f t="shared" si="2092"/>
        <v>SPS1</v>
      </c>
      <c r="C2053" s="5" t="str">
        <f t="shared" si="2089"/>
        <v>CH</v>
      </c>
      <c r="D2053" t="s">
        <v>2182</v>
      </c>
      <c r="E2053" t="str">
        <f t="shared" si="2090"/>
        <v>GWe/yr.</v>
      </c>
      <c r="F2053" s="1">
        <f t="shared" ref="F2053:K2053" si="2093">SUM(F2054:F2056)</f>
        <v>0</v>
      </c>
      <c r="G2053" s="1">
        <f t="shared" si="2093"/>
        <v>9.243646816646607E-4</v>
      </c>
      <c r="H2053" s="1">
        <f t="shared" si="2093"/>
        <v>4.3948286595739006E-3</v>
      </c>
      <c r="I2053" s="1">
        <f t="shared" si="2093"/>
        <v>0.27952600111262338</v>
      </c>
      <c r="J2053" s="1">
        <f t="shared" si="2093"/>
        <v>1.5705628540312598E-7</v>
      </c>
      <c r="K2053" s="1">
        <f t="shared" si="2093"/>
        <v>2.531665186407052E-7</v>
      </c>
      <c r="L2053" s="1">
        <f t="shared" ref="L2053" si="2094">SUM(L2054:L2056)</f>
        <v>1.1279274836306237</v>
      </c>
      <c r="N2053" s="1"/>
    </row>
    <row r="2054" spans="2:14" x14ac:dyDescent="0.35">
      <c r="B2054" s="5" t="str">
        <f t="shared" si="2092"/>
        <v>SPS1</v>
      </c>
      <c r="C2054" s="5" t="str">
        <f t="shared" si="2089"/>
        <v>CH</v>
      </c>
      <c r="D2054" t="s">
        <v>2183</v>
      </c>
      <c r="E2054" t="str">
        <f t="shared" si="2090"/>
        <v>GWe/yr.</v>
      </c>
      <c r="F2054" s="1">
        <f>'[1]Electricity and CHPs_NCAP'!B$15</f>
        <v>0</v>
      </c>
      <c r="G2054" s="1">
        <f>'[1]Electricity and CHPs_NCAP'!C$15</f>
        <v>6.9951975453304499E-4</v>
      </c>
      <c r="H2054" s="1">
        <f>'[1]Electricity and CHPs_NCAP'!D$15</f>
        <v>3.1775907876245495E-3</v>
      </c>
      <c r="I2054" s="1">
        <f>'[1]Electricity and CHPs_NCAP'!E$15</f>
        <v>0.2795250626809509</v>
      </c>
      <c r="J2054" s="1">
        <f>'[2]Electricity and CHPs_NCAP'!F$15</f>
        <v>1.198007767441728E-7</v>
      </c>
      <c r="K2054" s="1">
        <f>'[2]Electricity and CHPs_NCAP'!G$15</f>
        <v>2.095962490341687E-7</v>
      </c>
      <c r="L2054" s="1">
        <f>'[2]Electricity and CHPs_NCAP'!H$15</f>
        <v>1.1279273332445654</v>
      </c>
      <c r="N2054" s="1"/>
    </row>
    <row r="2055" spans="2:14" x14ac:dyDescent="0.35">
      <c r="B2055" s="5" t="str">
        <f t="shared" si="2092"/>
        <v>SPS1</v>
      </c>
      <c r="C2055" s="5" t="str">
        <f t="shared" si="2089"/>
        <v>CH</v>
      </c>
      <c r="D2055" t="s">
        <v>2184</v>
      </c>
      <c r="E2055" t="str">
        <f t="shared" si="2090"/>
        <v>GWe/yr.</v>
      </c>
      <c r="F2055" s="1">
        <f>'[1]Electricity and CHPs_NCAP'!B$16</f>
        <v>0</v>
      </c>
      <c r="G2055" s="1">
        <f>'[1]Electricity and CHPs_NCAP'!C$16</f>
        <v>1.5801416680534888E-4</v>
      </c>
      <c r="H2055" s="1">
        <f>'[1]Electricity and CHPs_NCAP'!D$16</f>
        <v>1.2171909605957307E-3</v>
      </c>
      <c r="I2055" s="1">
        <f>'[1]Electricity and CHPs_NCAP'!E$16</f>
        <v>8.9075758296030463E-7</v>
      </c>
      <c r="J2055" s="1">
        <f>'[2]Electricity and CHPs_NCAP'!F$16</f>
        <v>3.72555086589532E-8</v>
      </c>
      <c r="K2055" s="1">
        <f>'[2]Electricity and CHPs_NCAP'!G$16</f>
        <v>2.8073205367215304E-8</v>
      </c>
      <c r="L2055" s="1">
        <f>'[2]Electricity and CHPs_NCAP'!H$16</f>
        <v>7.5105025017182296E-8</v>
      </c>
      <c r="N2055" s="1"/>
    </row>
    <row r="2056" spans="2:14" x14ac:dyDescent="0.35">
      <c r="B2056" s="5" t="str">
        <f t="shared" si="2092"/>
        <v>SPS1</v>
      </c>
      <c r="C2056" s="5" t="str">
        <f t="shared" si="2089"/>
        <v>CH</v>
      </c>
      <c r="D2056" t="s">
        <v>2185</v>
      </c>
      <c r="E2056" t="str">
        <f t="shared" si="2090"/>
        <v>GWe/yr.</v>
      </c>
      <c r="F2056" s="1">
        <f>'[1]Electricity and CHPs_NCAP'!B$17</f>
        <v>0</v>
      </c>
      <c r="G2056" s="1">
        <f>'[1]Electricity and CHPs_NCAP'!C$17</f>
        <v>6.6830760326266799E-5</v>
      </c>
      <c r="H2056" s="1">
        <f>'[1]Electricity and CHPs_NCAP'!D$17</f>
        <v>4.69113536203915E-8</v>
      </c>
      <c r="I2056" s="1">
        <f>'[1]Electricity and CHPs_NCAP'!E$17</f>
        <v>4.7674089535733098E-8</v>
      </c>
      <c r="J2056" s="1">
        <f>'[2]Electricity and CHPs_NCAP'!F$17</f>
        <v>0</v>
      </c>
      <c r="K2056" s="1">
        <f>'[2]Electricity and CHPs_NCAP'!G$17</f>
        <v>1.5497064239321199E-8</v>
      </c>
      <c r="L2056" s="1">
        <f>'[2]Electricity and CHPs_NCAP'!H$17</f>
        <v>7.5281033154504406E-8</v>
      </c>
      <c r="N2056" s="1"/>
    </row>
    <row r="2057" spans="2:14" x14ac:dyDescent="0.35">
      <c r="B2057" s="5" t="str">
        <f t="shared" si="2092"/>
        <v>SPS1</v>
      </c>
      <c r="C2057" s="5" t="str">
        <f t="shared" si="2089"/>
        <v>CH</v>
      </c>
      <c r="D2057" t="s">
        <v>2186</v>
      </c>
      <c r="E2057" t="str">
        <f t="shared" si="2090"/>
        <v>GWe/yr.</v>
      </c>
      <c r="F2057" s="1">
        <f t="shared" ref="F2057:K2057" si="2095">SUM(F2058:F2060)</f>
        <v>0</v>
      </c>
      <c r="G2057" s="1">
        <f t="shared" si="2095"/>
        <v>6.1441915336117861E-3</v>
      </c>
      <c r="H2057" s="1">
        <f t="shared" si="2095"/>
        <v>2.4331716806272248E-3</v>
      </c>
      <c r="I2057" s="1">
        <f t="shared" si="2095"/>
        <v>2.2758830285100146E-2</v>
      </c>
      <c r="J2057" s="1">
        <f t="shared" si="2095"/>
        <v>5.4310903797024686E-3</v>
      </c>
      <c r="K2057" s="1">
        <f t="shared" si="2095"/>
        <v>3.5856671326089676E-2</v>
      </c>
      <c r="L2057" s="1">
        <f t="shared" ref="L2057" si="2096">SUM(L2058:L2060)</f>
        <v>2.77203061746394E-2</v>
      </c>
      <c r="N2057" s="1"/>
    </row>
    <row r="2058" spans="2:14" x14ac:dyDescent="0.35">
      <c r="B2058" s="5" t="str">
        <f t="shared" si="2092"/>
        <v>SPS1</v>
      </c>
      <c r="C2058" s="5" t="str">
        <f t="shared" si="2089"/>
        <v>CH</v>
      </c>
      <c r="D2058" t="s">
        <v>2187</v>
      </c>
      <c r="E2058" t="str">
        <f t="shared" si="2090"/>
        <v>GWe/yr.</v>
      </c>
      <c r="F2058" s="1">
        <f>'[1]Electricity and CHPs_NCAP'!B$18</f>
        <v>0</v>
      </c>
      <c r="G2058" s="1">
        <f>'[1]Electricity and CHPs_NCAP'!C$18</f>
        <v>2.1604719164306202E-6</v>
      </c>
      <c r="H2058" s="1">
        <f>'[1]Electricity and CHPs_NCAP'!D$18</f>
        <v>4.1756510618392801E-5</v>
      </c>
      <c r="I2058" s="1">
        <f>'[1]Electricity and CHPs_NCAP'!E$18</f>
        <v>8.0179569884006908E-3</v>
      </c>
      <c r="J2058" s="1">
        <f>'[2]Electricity and CHPs_NCAP'!F$18</f>
        <v>2.02659648786533E-3</v>
      </c>
      <c r="K2058" s="1">
        <f>'[2]Electricity and CHPs_NCAP'!G$18</f>
        <v>7.2660508656170603E-3</v>
      </c>
      <c r="L2058" s="1">
        <f>'[2]Electricity and CHPs_NCAP'!H$18</f>
        <v>6.6026016385823598E-7</v>
      </c>
      <c r="N2058" s="1"/>
    </row>
    <row r="2059" spans="2:14" x14ac:dyDescent="0.35">
      <c r="B2059" s="5" t="str">
        <f t="shared" si="2092"/>
        <v>SPS1</v>
      </c>
      <c r="C2059" s="5" t="str">
        <f t="shared" si="2089"/>
        <v>CH</v>
      </c>
      <c r="D2059" t="s">
        <v>2188</v>
      </c>
      <c r="E2059" t="str">
        <f t="shared" si="2090"/>
        <v>GWe/yr.</v>
      </c>
      <c r="F2059" s="1">
        <f>'[1]Electricity and CHPs_NCAP'!B$28</f>
        <v>0</v>
      </c>
      <c r="G2059" s="1">
        <f>'[1]Electricity and CHPs_NCAP'!C$28</f>
        <v>4.01678452575365E-7</v>
      </c>
      <c r="H2059" s="1">
        <f>'[1]Electricity and CHPs_NCAP'!D$28</f>
        <v>4.3055743559194101E-7</v>
      </c>
      <c r="I2059" s="1">
        <f>'[1]Electricity and CHPs_NCAP'!E$28</f>
        <v>5.0150988235647799E-7</v>
      </c>
      <c r="J2059" s="1">
        <f>'[2]Electricity and CHPs_NCAP'!F$28</f>
        <v>4.7874312806920198E-7</v>
      </c>
      <c r="K2059" s="1">
        <f>'[2]Electricity and CHPs_NCAP'!G$28</f>
        <v>1.40385397531656E-6</v>
      </c>
      <c r="L2059" s="1">
        <f>'[2]Electricity and CHPs_NCAP'!H$28</f>
        <v>2.9216143965441401E-5</v>
      </c>
      <c r="N2059" s="1"/>
    </row>
    <row r="2060" spans="2:14" x14ac:dyDescent="0.35">
      <c r="B2060" s="5" t="str">
        <f t="shared" si="2092"/>
        <v>SPS1</v>
      </c>
      <c r="C2060" s="5" t="str">
        <f t="shared" si="2089"/>
        <v>CH</v>
      </c>
      <c r="D2060" t="s">
        <v>2189</v>
      </c>
      <c r="E2060" t="str">
        <f t="shared" si="2090"/>
        <v>GWe/yr.</v>
      </c>
      <c r="F2060" s="1">
        <f>'[1]Electricity and CHPs_NCAP'!B$41</f>
        <v>0</v>
      </c>
      <c r="G2060" s="1">
        <f>'[1]Electricity and CHPs_NCAP'!C$41</f>
        <v>6.1416293832427804E-3</v>
      </c>
      <c r="H2060" s="1">
        <f>'[1]Electricity and CHPs_NCAP'!D$41</f>
        <v>2.39098461257324E-3</v>
      </c>
      <c r="I2060" s="1">
        <f>'[1]Electricity and CHPs_NCAP'!E$41</f>
        <v>1.47403717868171E-2</v>
      </c>
      <c r="J2060" s="1">
        <f>'[2]Electricity and CHPs_NCAP'!F$41</f>
        <v>3.4040151487090701E-3</v>
      </c>
      <c r="K2060" s="1">
        <f>'[2]Electricity and CHPs_NCAP'!G$41</f>
        <v>2.8589216606497301E-2</v>
      </c>
      <c r="L2060" s="1">
        <f>'[2]Electricity and CHPs_NCAP'!H$41</f>
        <v>2.7690429770510099E-2</v>
      </c>
      <c r="N2060" s="1"/>
    </row>
    <row r="2061" spans="2:14" x14ac:dyDescent="0.35">
      <c r="B2061" s="5" t="str">
        <f t="shared" si="2092"/>
        <v>SPS1</v>
      </c>
      <c r="C2061" s="5" t="str">
        <f t="shared" si="2089"/>
        <v>CH</v>
      </c>
      <c r="D2061" t="s">
        <v>2190</v>
      </c>
      <c r="E2061" t="str">
        <f t="shared" si="2090"/>
        <v>GWe/yr.</v>
      </c>
      <c r="F2061" s="1">
        <f t="shared" ref="F2061:K2061" si="2097">SUM(F2062:F2076)</f>
        <v>0</v>
      </c>
      <c r="G2061" s="1">
        <f t="shared" si="2097"/>
        <v>5.3498972466902397E-2</v>
      </c>
      <c r="H2061" s="1">
        <f t="shared" si="2097"/>
        <v>1.5754042319458043E-2</v>
      </c>
      <c r="I2061" s="1">
        <f t="shared" si="2097"/>
        <v>4.9280514255085887E-2</v>
      </c>
      <c r="J2061" s="1">
        <f t="shared" si="2097"/>
        <v>0.27821282068772579</v>
      </c>
      <c r="K2061" s="1">
        <f t="shared" si="2097"/>
        <v>7.3937635622089215E-2</v>
      </c>
      <c r="L2061" s="1">
        <f t="shared" ref="L2061" si="2098">SUM(L2062:L2076)</f>
        <v>0.4005171833618319</v>
      </c>
      <c r="N2061" s="1"/>
    </row>
    <row r="2062" spans="2:14" x14ac:dyDescent="0.35">
      <c r="B2062" s="5" t="str">
        <f t="shared" si="2092"/>
        <v>SPS1</v>
      </c>
      <c r="C2062" s="5" t="str">
        <f t="shared" si="2089"/>
        <v>CH</v>
      </c>
      <c r="D2062" t="s">
        <v>2191</v>
      </c>
      <c r="E2062" t="str">
        <f t="shared" si="2090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1.4661704847376901E-4</v>
      </c>
      <c r="L2062" s="1">
        <f>'[2]Electricity and CHPs_NCAP'!H$21</f>
        <v>0.33704310678684601</v>
      </c>
      <c r="N2062" s="1"/>
    </row>
    <row r="2063" spans="2:14" x14ac:dyDescent="0.35">
      <c r="B2063" s="5" t="str">
        <f t="shared" si="2092"/>
        <v>SPS1</v>
      </c>
      <c r="C2063" s="5" t="str">
        <f t="shared" si="2089"/>
        <v>CH</v>
      </c>
      <c r="D2063" t="s">
        <v>2192</v>
      </c>
      <c r="E2063" t="str">
        <f t="shared" si="2090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4.5351891917342702E-4</v>
      </c>
      <c r="K2063" s="1">
        <f>'[2]Electricity and CHPs_NCAP'!G$22</f>
        <v>3.0711330699769399E-7</v>
      </c>
      <c r="L2063" s="1">
        <f>'[2]Electricity and CHPs_NCAP'!H$22</f>
        <v>1.67957628888508E-7</v>
      </c>
      <c r="N2063" s="1"/>
    </row>
    <row r="2064" spans="2:14" x14ac:dyDescent="0.35">
      <c r="B2064" s="5" t="str">
        <f t="shared" si="2092"/>
        <v>SPS1</v>
      </c>
      <c r="C2064" s="5" t="str">
        <f t="shared" si="2089"/>
        <v>CH</v>
      </c>
      <c r="D2064" t="s">
        <v>2193</v>
      </c>
      <c r="E2064" t="str">
        <f t="shared" si="2090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92"/>
        <v>SPS1</v>
      </c>
      <c r="C2065" s="5" t="str">
        <f t="shared" si="2089"/>
        <v>CH</v>
      </c>
      <c r="D2065" t="s">
        <v>2194</v>
      </c>
      <c r="E2065" t="str">
        <f t="shared" si="2090"/>
        <v>GWe/yr.</v>
      </c>
      <c r="F2065" s="1">
        <f>'[1]Electricity and CHPs_NCAP'!B$24</f>
        <v>0</v>
      </c>
      <c r="G2065" s="1">
        <f>'[1]Electricity and CHPs_NCAP'!C$24</f>
        <v>9.6381445964454604E-8</v>
      </c>
      <c r="H2065" s="1">
        <f>'[1]Electricity and CHPs_NCAP'!D$24</f>
        <v>2.7115324089321199E-3</v>
      </c>
      <c r="I2065" s="1">
        <f>'[1]Electricity and CHPs_NCAP'!E$24</f>
        <v>5.5185581081762498E-7</v>
      </c>
      <c r="J2065" s="1">
        <f>'[2]Electricity and CHPs_NCAP'!F$24</f>
        <v>3.8773416306613401E-7</v>
      </c>
      <c r="K2065" s="1">
        <f>'[2]Electricity and CHPs_NCAP'!G$24</f>
        <v>2.1976764860239001E-7</v>
      </c>
      <c r="L2065" s="1">
        <f>'[2]Electricity and CHPs_NCAP'!H$24</f>
        <v>9.0159813205369703E-5</v>
      </c>
      <c r="N2065" s="1"/>
    </row>
    <row r="2066" spans="2:14" x14ac:dyDescent="0.35">
      <c r="B2066" s="5" t="str">
        <f t="shared" si="2092"/>
        <v>SPS1</v>
      </c>
      <c r="C2066" s="5" t="str">
        <f t="shared" si="2089"/>
        <v>CH</v>
      </c>
      <c r="D2066" t="s">
        <v>2195</v>
      </c>
      <c r="E2066" t="str">
        <f t="shared" si="2090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2.0420330915139599E-4</v>
      </c>
      <c r="L2066" s="1">
        <f>'[2]Electricity and CHPs_NCAP'!H$29</f>
        <v>1.9859570683790101E-2</v>
      </c>
      <c r="N2066" s="1"/>
    </row>
    <row r="2067" spans="2:14" x14ac:dyDescent="0.35">
      <c r="B2067" s="5" t="str">
        <f t="shared" si="2092"/>
        <v>SPS1</v>
      </c>
      <c r="C2067" s="5" t="str">
        <f t="shared" si="2089"/>
        <v>CH</v>
      </c>
      <c r="D2067" t="s">
        <v>2196</v>
      </c>
      <c r="E2067" t="str">
        <f t="shared" si="2090"/>
        <v>GWe/yr.</v>
      </c>
      <c r="F2067" s="1">
        <f>'[1]Electricity and CHPs_NCAP'!B$39</f>
        <v>0</v>
      </c>
      <c r="G2067" s="1">
        <f>'[1]Electricity and CHPs_NCAP'!C$39</f>
        <v>1.6531589830338499E-7</v>
      </c>
      <c r="H2067" s="1">
        <f>'[1]Electricity and CHPs_NCAP'!D$39</f>
        <v>6.4758760470310199E-3</v>
      </c>
      <c r="I2067" s="1">
        <f>'[1]Electricity and CHPs_NCAP'!E$39</f>
        <v>3.7022233279364401E-2</v>
      </c>
      <c r="J2067" s="1">
        <f>'[2]Electricity and CHPs_NCAP'!F$39</f>
        <v>1.13645667352748E-7</v>
      </c>
      <c r="K2067" s="1">
        <f>'[2]Electricity and CHPs_NCAP'!G$39</f>
        <v>1.3241801275342199E-7</v>
      </c>
      <c r="L2067" s="1">
        <f>'[2]Electricity and CHPs_NCAP'!H$39</f>
        <v>4.9734310628686398E-7</v>
      </c>
      <c r="N2067" s="1"/>
    </row>
    <row r="2068" spans="2:14" x14ac:dyDescent="0.35">
      <c r="B2068" s="5" t="str">
        <f t="shared" si="2092"/>
        <v>SPS1</v>
      </c>
      <c r="C2068" s="5" t="str">
        <f t="shared" si="2089"/>
        <v>CH</v>
      </c>
      <c r="D2068" t="s">
        <v>2197</v>
      </c>
      <c r="E2068" t="str">
        <f t="shared" si="2090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0</v>
      </c>
      <c r="N2068" s="1"/>
    </row>
    <row r="2069" spans="2:14" x14ac:dyDescent="0.35">
      <c r="B2069" s="5" t="str">
        <f t="shared" si="2092"/>
        <v>SPS1</v>
      </c>
      <c r="C2069" s="5" t="str">
        <f t="shared" si="2089"/>
        <v>CH</v>
      </c>
      <c r="D2069" t="s">
        <v>2198</v>
      </c>
      <c r="E2069" t="str">
        <f t="shared" si="2090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3.1801650507618999E-5</v>
      </c>
      <c r="J2069" s="1">
        <f>'[2]Electricity and CHPs_NCAP'!F$47</f>
        <v>9.1385320998198799E-6</v>
      </c>
      <c r="K2069" s="1">
        <f>'[2]Electricity and CHPs_NCAP'!G$47</f>
        <v>1.95552287468901E-6</v>
      </c>
      <c r="L2069" s="1">
        <f>'[2]Electricity and CHPs_NCAP'!H$47</f>
        <v>1.70287613810559E-5</v>
      </c>
      <c r="N2069" s="1"/>
    </row>
    <row r="2070" spans="2:14" x14ac:dyDescent="0.35">
      <c r="B2070" s="5" t="str">
        <f t="shared" si="2092"/>
        <v>SPS1</v>
      </c>
      <c r="C2070" s="5" t="str">
        <f t="shared" si="2089"/>
        <v>CH</v>
      </c>
      <c r="D2070" t="s">
        <v>2199</v>
      </c>
      <c r="E2070" t="str">
        <f t="shared" si="2090"/>
        <v>GWe/yr.</v>
      </c>
      <c r="F2070" s="1">
        <f>'[1]Electricity and CHPs_NCAP'!B$48</f>
        <v>0</v>
      </c>
      <c r="G2070" s="1">
        <f>'[1]Electricity and CHPs_NCAP'!C$48</f>
        <v>3.6151709307951818E-5</v>
      </c>
      <c r="H2070" s="1">
        <f>'[1]Electricity and CHPs_NCAP'!D$48</f>
        <v>9.4368435150526997E-8</v>
      </c>
      <c r="I2070" s="1">
        <f>'[1]Electricity and CHPs_NCAP'!E$48</f>
        <v>0</v>
      </c>
      <c r="J2070" s="1">
        <f>'[2]Electricity and CHPs_NCAP'!F$48</f>
        <v>6.6914456076888004E-6</v>
      </c>
      <c r="K2070" s="1">
        <f>'[2]Electricity and CHPs_NCAP'!G$48</f>
        <v>1.0112107514429591E-5</v>
      </c>
      <c r="L2070" s="1">
        <f>'[2]Electricity and CHPs_NCAP'!H$48</f>
        <v>1.4003602098253209E-5</v>
      </c>
      <c r="N2070" s="1"/>
    </row>
    <row r="2071" spans="2:14" x14ac:dyDescent="0.35">
      <c r="B2071" s="5" t="str">
        <f t="shared" si="2092"/>
        <v>SPS1</v>
      </c>
      <c r="C2071" s="5" t="str">
        <f t="shared" si="2089"/>
        <v>CH</v>
      </c>
      <c r="D2071" t="s">
        <v>2200</v>
      </c>
      <c r="E2071" t="str">
        <f t="shared" si="2090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7.701321675011561E-7</v>
      </c>
      <c r="J2071" s="1">
        <f>'[2]Electricity and CHPs_NCAP'!F$49</f>
        <v>6.1876470939276996E-6</v>
      </c>
      <c r="K2071" s="1">
        <f>'[2]Electricity and CHPs_NCAP'!G$49</f>
        <v>5.3383061772039694E-7</v>
      </c>
      <c r="L2071" s="1">
        <f>'[2]Electricity and CHPs_NCAP'!H$49</f>
        <v>2.62660292853603E-6</v>
      </c>
      <c r="N2071" s="1"/>
    </row>
    <row r="2072" spans="2:14" x14ac:dyDescent="0.35">
      <c r="B2072" s="5" t="str">
        <f t="shared" si="2092"/>
        <v>SPS1</v>
      </c>
      <c r="C2072" s="5" t="str">
        <f t="shared" si="2089"/>
        <v>CH</v>
      </c>
      <c r="D2072" t="s">
        <v>2201</v>
      </c>
      <c r="E2072" t="str">
        <f t="shared" si="2090"/>
        <v>GWe/yr.</v>
      </c>
      <c r="F2072" s="1">
        <f>'[1]Electricity and CHPs_NCAP'!B$51</f>
        <v>0</v>
      </c>
      <c r="G2072" s="1">
        <f>'[1]Electricity and CHPs_NCAP'!C$51</f>
        <v>1.04636750250073E-4</v>
      </c>
      <c r="H2072" s="1">
        <f>'[1]Electricity and CHPs_NCAP'!D$51</f>
        <v>4.2282536963265729E-7</v>
      </c>
      <c r="I2072" s="1">
        <f>'[1]Electricity and CHPs_NCAP'!E$51</f>
        <v>3.45164196397029E-8</v>
      </c>
      <c r="J2072" s="1">
        <f>'[2]Electricity and CHPs_NCAP'!F$51</f>
        <v>1.035079076925783E-2</v>
      </c>
      <c r="K2072" s="1">
        <f>'[2]Electricity and CHPs_NCAP'!G$51</f>
        <v>4.2363506322262101E-2</v>
      </c>
      <c r="L2072" s="1">
        <f>'[2]Electricity and CHPs_NCAP'!H$51</f>
        <v>7.9763310360041595E-8</v>
      </c>
      <c r="N2072" s="1"/>
    </row>
    <row r="2073" spans="2:14" x14ac:dyDescent="0.35">
      <c r="B2073" s="5" t="str">
        <f t="shared" si="2092"/>
        <v>SPS1</v>
      </c>
      <c r="C2073" s="5" t="str">
        <f t="shared" si="2089"/>
        <v>CH</v>
      </c>
      <c r="D2073" t="s">
        <v>2202</v>
      </c>
      <c r="E2073" t="str">
        <f t="shared" si="2090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2.7153873415405197E-6</v>
      </c>
      <c r="J2073" s="1">
        <f>'[2]Electricity and CHPs_NCAP'!F$52</f>
        <v>4.2787506687220998E-5</v>
      </c>
      <c r="K2073" s="1">
        <f>'[2]Electricity and CHPs_NCAP'!G$52</f>
        <v>3.01549709735418E-5</v>
      </c>
      <c r="L2073" s="1">
        <f>'[2]Electricity and CHPs_NCAP'!H$52</f>
        <v>1.5184541152090192E-7</v>
      </c>
      <c r="N2073" s="1"/>
    </row>
    <row r="2074" spans="2:14" x14ac:dyDescent="0.35">
      <c r="B2074" s="5" t="str">
        <f t="shared" si="2092"/>
        <v>SPS1</v>
      </c>
      <c r="C2074" s="5" t="str">
        <f t="shared" si="2089"/>
        <v>CH</v>
      </c>
      <c r="D2074" t="s">
        <v>2203</v>
      </c>
      <c r="E2074" t="str">
        <f t="shared" si="2090"/>
        <v>GWe/yr.</v>
      </c>
      <c r="F2074" s="1">
        <f>'[1]Electricity and CHPs_NCAP'!B$54</f>
        <v>0</v>
      </c>
      <c r="G2074" s="1">
        <f>'[1]Electricity and CHPs_NCAP'!C$54</f>
        <v>2.6187181431673302E-2</v>
      </c>
      <c r="H2074" s="1">
        <f>'[1]Electricity and CHPs_NCAP'!D$54</f>
        <v>6.5661032912017201E-3</v>
      </c>
      <c r="I2074" s="1">
        <f>'[1]Electricity and CHPs_NCAP'!E$54</f>
        <v>1.22210139226939E-2</v>
      </c>
      <c r="J2074" s="1">
        <f>'[2]Electricity and CHPs_NCAP'!F$54</f>
        <v>4.4083507474734801E-2</v>
      </c>
      <c r="K2074" s="1">
        <f>'[2]Electricity and CHPs_NCAP'!G$54</f>
        <v>3.1151085583192E-2</v>
      </c>
      <c r="L2074" s="1">
        <f>'[2]Electricity and CHPs_NCAP'!H$54</f>
        <v>4.3489704586102802E-2</v>
      </c>
      <c r="N2074" s="1"/>
    </row>
    <row r="2075" spans="2:14" x14ac:dyDescent="0.35">
      <c r="B2075" s="5" t="str">
        <f t="shared" si="2092"/>
        <v>SPS1</v>
      </c>
      <c r="C2075" s="5" t="str">
        <f t="shared" si="2089"/>
        <v>CH</v>
      </c>
      <c r="D2075" t="s">
        <v>2204</v>
      </c>
      <c r="E2075" t="str">
        <f t="shared" si="2090"/>
        <v>GWe/yr.</v>
      </c>
      <c r="F2075" s="1">
        <f>'[1]Electricity and CHPs_NCAP'!B$55</f>
        <v>0</v>
      </c>
      <c r="G2075" s="1">
        <f>'[1]Electricity and CHPs_NCAP'!C$55</f>
        <v>2.7170740878326799E-2</v>
      </c>
      <c r="H2075" s="1">
        <f>'[1]Electricity and CHPs_NCAP'!D$55</f>
        <v>1.33784884002385E-8</v>
      </c>
      <c r="I2075" s="1">
        <f>'[1]Electricity and CHPs_NCAP'!E$55</f>
        <v>2.1006864876620199E-8</v>
      </c>
      <c r="J2075" s="1">
        <f>'[2]Electricity and CHPs_NCAP'!F$55</f>
        <v>0.22324506777798001</v>
      </c>
      <c r="K2075" s="1">
        <f>'[2]Electricity and CHPs_NCAP'!G$55</f>
        <v>3.8144857618658298E-7</v>
      </c>
      <c r="L2075" s="1">
        <f>'[2]Electricity and CHPs_NCAP'!H$55</f>
        <v>2.2375631416563401E-8</v>
      </c>
      <c r="N2075" s="1"/>
    </row>
    <row r="2076" spans="2:14" x14ac:dyDescent="0.35">
      <c r="B2076" s="5" t="str">
        <f t="shared" si="2092"/>
        <v>SPS1</v>
      </c>
      <c r="C2076" s="5" t="str">
        <f t="shared" si="2089"/>
        <v>CH</v>
      </c>
      <c r="D2076" t="s">
        <v>2205</v>
      </c>
      <c r="E2076" t="str">
        <f t="shared" si="2090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1.37250391558667E-6</v>
      </c>
      <c r="J2076" s="1">
        <f>'[2]Electricity and CHPs_NCAP'!F$58</f>
        <v>1.46292352606053E-5</v>
      </c>
      <c r="K2076" s="1">
        <f>'[2]Electricity and CHPs_NCAP'!G$58</f>
        <v>2.8426179485035401E-5</v>
      </c>
      <c r="L2076" s="1">
        <f>'[2]Electricity and CHPs_NCAP'!H$58</f>
        <v>6.3240391298860903E-8</v>
      </c>
      <c r="N2076" s="1"/>
    </row>
    <row r="2077" spans="2:14" x14ac:dyDescent="0.35">
      <c r="B2077" s="5" t="str">
        <f t="shared" si="2092"/>
        <v>SPS1</v>
      </c>
      <c r="C2077" s="5" t="str">
        <f t="shared" si="2089"/>
        <v>CH</v>
      </c>
      <c r="D2077" t="s">
        <v>2206</v>
      </c>
      <c r="E2077" t="str">
        <f t="shared" si="2090"/>
        <v>GWe/yr.</v>
      </c>
      <c r="F2077" s="1">
        <f t="shared" ref="F2077:K2077" si="2099">SUM(F2078:F2083)</f>
        <v>0</v>
      </c>
      <c r="G2077" s="1">
        <f t="shared" si="2099"/>
        <v>8.5005546860355394E-8</v>
      </c>
      <c r="H2077" s="1">
        <f t="shared" si="2099"/>
        <v>1.328735756290632E-7</v>
      </c>
      <c r="I2077" s="1">
        <f t="shared" si="2099"/>
        <v>5.4108079359334364E-2</v>
      </c>
      <c r="J2077" s="1">
        <f t="shared" si="2099"/>
        <v>0.11013910804010275</v>
      </c>
      <c r="K2077" s="1">
        <f t="shared" si="2099"/>
        <v>5.8985237776874956E-2</v>
      </c>
      <c r="L2077" s="1">
        <f t="shared" ref="L2077" si="2100">SUM(L2078:L2083)</f>
        <v>0.11960304281506148</v>
      </c>
      <c r="N2077" s="1"/>
    </row>
    <row r="2078" spans="2:14" x14ac:dyDescent="0.35">
      <c r="B2078" s="5" t="str">
        <f t="shared" si="2092"/>
        <v>SPS1</v>
      </c>
      <c r="C2078" s="5" t="str">
        <f t="shared" si="2089"/>
        <v>CH</v>
      </c>
      <c r="D2078" t="s">
        <v>2207</v>
      </c>
      <c r="E2078" t="str">
        <f t="shared" si="2090"/>
        <v>GWe/yr.</v>
      </c>
      <c r="F2078" s="1">
        <f>'[1]Electricity and CHPs_NCAP'!B$19</f>
        <v>0</v>
      </c>
      <c r="G2078" s="1">
        <f>'[1]Electricity and CHPs_NCAP'!C$19</f>
        <v>4.1905992957292102E-8</v>
      </c>
      <c r="H2078" s="1">
        <f>'[1]Electricity and CHPs_NCAP'!D$19</f>
        <v>9.4402605497841098E-8</v>
      </c>
      <c r="I2078" s="1">
        <f>'[1]Electricity and CHPs_NCAP'!E$19</f>
        <v>5.4107989895066502E-2</v>
      </c>
      <c r="J2078" s="1">
        <f>'[2]Electricity and CHPs_NCAP'!F$19</f>
        <v>0.10448039621148</v>
      </c>
      <c r="K2078" s="1">
        <f>'[2]Electricity and CHPs_NCAP'!G$19</f>
        <v>3.9376205501359098E-2</v>
      </c>
      <c r="L2078" s="1">
        <f>'[2]Electricity and CHPs_NCAP'!H$19</f>
        <v>9.1145127374264098E-2</v>
      </c>
      <c r="N2078" s="1"/>
    </row>
    <row r="2079" spans="2:14" x14ac:dyDescent="0.35">
      <c r="B2079" s="5" t="str">
        <f t="shared" si="2092"/>
        <v>SPS1</v>
      </c>
      <c r="C2079" s="5" t="str">
        <f t="shared" si="2089"/>
        <v>CH</v>
      </c>
      <c r="D2079" t="s">
        <v>2208</v>
      </c>
      <c r="E2079" t="str">
        <f t="shared" si="2090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</v>
      </c>
      <c r="N2079" s="1"/>
    </row>
    <row r="2080" spans="2:14" x14ac:dyDescent="0.35">
      <c r="B2080" s="5" t="str">
        <f t="shared" si="2092"/>
        <v>SPS1</v>
      </c>
      <c r="C2080" s="5" t="str">
        <f t="shared" si="2089"/>
        <v>CH</v>
      </c>
      <c r="D2080" t="s">
        <v>2209</v>
      </c>
      <c r="E2080" t="str">
        <f t="shared" si="2090"/>
        <v>GWe/yr.</v>
      </c>
      <c r="F2080" s="1">
        <f>'[1]Electricity and CHPs_NCAP'!B$26</f>
        <v>0</v>
      </c>
      <c r="G2080" s="1">
        <f>'[1]Electricity and CHPs_NCAP'!C$26</f>
        <v>2.6400649049387E-8</v>
      </c>
      <c r="H2080" s="1">
        <f>'[1]Electricity and CHPs_NCAP'!D$26</f>
        <v>2.63322594213968E-8</v>
      </c>
      <c r="I2080" s="1">
        <f>'[1]Electricity and CHPs_NCAP'!E$26</f>
        <v>6.5415622175895802E-8</v>
      </c>
      <c r="J2080" s="1">
        <f>'[2]Electricity and CHPs_NCAP'!F$26</f>
        <v>5.6586777351022603E-3</v>
      </c>
      <c r="K2080" s="1">
        <f>'[2]Electricity and CHPs_NCAP'!G$26</f>
        <v>1.9609019773940001E-2</v>
      </c>
      <c r="L2080" s="1">
        <f>'[2]Electricity and CHPs_NCAP'!H$26</f>
        <v>2.8457898600671799E-2</v>
      </c>
      <c r="N2080" s="1"/>
    </row>
    <row r="2081" spans="2:14" x14ac:dyDescent="0.35">
      <c r="B2081" s="5" t="str">
        <f t="shared" si="2092"/>
        <v>SPS1</v>
      </c>
      <c r="C2081" s="5" t="str">
        <f t="shared" si="2089"/>
        <v>CH</v>
      </c>
      <c r="D2081" t="s">
        <v>2210</v>
      </c>
      <c r="E2081" t="str">
        <f t="shared" si="2090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0</v>
      </c>
      <c r="N2081" s="1"/>
    </row>
    <row r="2082" spans="2:14" x14ac:dyDescent="0.35">
      <c r="B2082" s="5" t="str">
        <f t="shared" si="2092"/>
        <v>SPS1</v>
      </c>
      <c r="C2082" s="5" t="str">
        <f t="shared" si="2089"/>
        <v>CH</v>
      </c>
      <c r="D2082" t="s">
        <v>2211</v>
      </c>
      <c r="E2082" t="str">
        <f t="shared" si="2090"/>
        <v>GWe/yr.</v>
      </c>
      <c r="F2082" s="1">
        <f>'[1]Electricity and CHPs_NCAP'!B$44</f>
        <v>0</v>
      </c>
      <c r="G2082" s="1">
        <f>'[1]Electricity and CHPs_NCAP'!C$44</f>
        <v>1.6698904853676301E-8</v>
      </c>
      <c r="H2082" s="1">
        <f>'[1]Electricity and CHPs_NCAP'!D$44</f>
        <v>1.21387107098253E-8</v>
      </c>
      <c r="I2082" s="1">
        <f>'[1]Electricity and CHPs_NCAP'!E$44</f>
        <v>2.4048645689022301E-8</v>
      </c>
      <c r="J2082" s="1">
        <f>'[2]Electricity and CHPs_NCAP'!F$44</f>
        <v>3.4093520491133003E-8</v>
      </c>
      <c r="K2082" s="1">
        <f>'[2]Electricity and CHPs_NCAP'!G$44</f>
        <v>1.25015758604118E-8</v>
      </c>
      <c r="L2082" s="1">
        <f>'[2]Electricity and CHPs_NCAP'!H$44</f>
        <v>1.6840125587199E-8</v>
      </c>
      <c r="N2082" s="1"/>
    </row>
    <row r="2083" spans="2:14" x14ac:dyDescent="0.35">
      <c r="B2083" s="5" t="str">
        <f t="shared" si="2092"/>
        <v>SPS1</v>
      </c>
      <c r="C2083" s="5" t="str">
        <f t="shared" si="2089"/>
        <v>CH</v>
      </c>
      <c r="D2083" t="s">
        <v>2212</v>
      </c>
      <c r="E2083" t="str">
        <f t="shared" ref="E2083:E2113" si="2101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0</v>
      </c>
      <c r="N2083" s="1"/>
    </row>
    <row r="2084" spans="2:14" x14ac:dyDescent="0.35">
      <c r="B2084" s="5" t="str">
        <f t="shared" si="2092"/>
        <v>SPS1</v>
      </c>
      <c r="C2084" s="5" t="str">
        <f t="shared" si="2089"/>
        <v>CH</v>
      </c>
      <c r="D2084" t="s">
        <v>2213</v>
      </c>
      <c r="E2084" t="str">
        <f t="shared" si="2101"/>
        <v>GWe/yr.</v>
      </c>
      <c r="F2084" s="1">
        <f t="shared" ref="F2084:K2084" si="2102">SUM(F2085:F2091)</f>
        <v>0</v>
      </c>
      <c r="G2084" s="1">
        <f t="shared" si="2102"/>
        <v>1.527223414355908E-2</v>
      </c>
      <c r="H2084" s="1">
        <f t="shared" si="2102"/>
        <v>2.9494184779964631E-2</v>
      </c>
      <c r="I2084" s="1">
        <f t="shared" si="2102"/>
        <v>4.9942890613909677E-2</v>
      </c>
      <c r="J2084" s="1">
        <f t="shared" si="2102"/>
        <v>4.6370630958353427E-2</v>
      </c>
      <c r="K2084" s="1">
        <f t="shared" si="2102"/>
        <v>7.7684373825687325E-2</v>
      </c>
      <c r="L2084" s="1">
        <f t="shared" ref="L2084" si="2103">SUM(L2085:L2091)</f>
        <v>0.10983864351004186</v>
      </c>
      <c r="N2084" s="1"/>
    </row>
    <row r="2085" spans="2:14" x14ac:dyDescent="0.35">
      <c r="B2085" s="5" t="str">
        <f t="shared" si="2092"/>
        <v>SPS1</v>
      </c>
      <c r="C2085" s="5" t="str">
        <f t="shared" si="2089"/>
        <v>CH</v>
      </c>
      <c r="D2085" t="s">
        <v>2214</v>
      </c>
      <c r="E2085" t="str">
        <f t="shared" si="2101"/>
        <v>GWe/yr.</v>
      </c>
      <c r="F2085" s="1">
        <f>'[1]Electricity and CHPs_NCAP'!B$25</f>
        <v>0</v>
      </c>
      <c r="G2085" s="1">
        <f>'[1]Electricity and CHPs_NCAP'!C$25</f>
        <v>3.53339480790937E-8</v>
      </c>
      <c r="H2085" s="1">
        <f>'[1]Electricity and CHPs_NCAP'!D$25</f>
        <v>3.0943961463134699E-7</v>
      </c>
      <c r="I2085" s="1">
        <f>'[1]Electricity and CHPs_NCAP'!E$25</f>
        <v>3.70711202822653E-2</v>
      </c>
      <c r="J2085" s="1">
        <f>'[2]Electricity and CHPs_NCAP'!F$25</f>
        <v>3.2499710656265698E-7</v>
      </c>
      <c r="K2085" s="1">
        <f>'[2]Electricity and CHPs_NCAP'!G$25</f>
        <v>6.2886964908891695E-4</v>
      </c>
      <c r="L2085" s="1">
        <f>'[2]Electricity and CHPs_NCAP'!H$25</f>
        <v>1.2940025666755001E-7</v>
      </c>
      <c r="N2085" s="1"/>
    </row>
    <row r="2086" spans="2:14" x14ac:dyDescent="0.35">
      <c r="B2086" s="5" t="str">
        <f t="shared" si="2092"/>
        <v>SPS1</v>
      </c>
      <c r="C2086" s="5" t="str">
        <f t="shared" si="2089"/>
        <v>CH</v>
      </c>
      <c r="D2086" t="s">
        <v>2215</v>
      </c>
      <c r="E2086" t="str">
        <f t="shared" si="2101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0</v>
      </c>
      <c r="L2086" s="1">
        <f>'[2]Electricity and CHPs_NCAP'!H$31</f>
        <v>0</v>
      </c>
      <c r="N2086" s="1"/>
    </row>
    <row r="2087" spans="2:14" x14ac:dyDescent="0.35">
      <c r="B2087" s="5" t="str">
        <f t="shared" si="2092"/>
        <v>SPS1</v>
      </c>
      <c r="C2087" s="5" t="str">
        <f t="shared" si="2089"/>
        <v>CH</v>
      </c>
      <c r="D2087" t="s">
        <v>2216</v>
      </c>
      <c r="E2087" t="str">
        <f t="shared" si="2101"/>
        <v>GWe/yr.</v>
      </c>
      <c r="F2087" s="1">
        <f>'[1]Electricity and CHPs_NCAP'!B$42</f>
        <v>0</v>
      </c>
      <c r="G2087" s="1">
        <f>'[1]Electricity and CHPs_NCAP'!C$42</f>
        <v>1.5272198809611E-2</v>
      </c>
      <c r="H2087" s="1">
        <f>'[1]Electricity and CHPs_NCAP'!D$42</f>
        <v>2.9493875340350001E-2</v>
      </c>
      <c r="I2087" s="1">
        <f>'[1]Electricity and CHPs_NCAP'!E$42</f>
        <v>1.28633152077642E-2</v>
      </c>
      <c r="J2087" s="1">
        <f>'[2]Electricity and CHPs_NCAP'!F$42</f>
        <v>4.6351857569464798E-2</v>
      </c>
      <c r="K2087" s="1">
        <f>'[2]Electricity and CHPs_NCAP'!G$42</f>
        <v>7.7055156350779003E-2</v>
      </c>
      <c r="L2087" s="1">
        <f>'[2]Electricity and CHPs_NCAP'!H$42</f>
        <v>0.10978664724053</v>
      </c>
      <c r="N2087" s="1"/>
    </row>
    <row r="2088" spans="2:14" x14ac:dyDescent="0.35">
      <c r="B2088" s="5" t="str">
        <f t="shared" si="2092"/>
        <v>SPS1</v>
      </c>
      <c r="C2088" s="5" t="str">
        <f t="shared" si="2089"/>
        <v>CH</v>
      </c>
      <c r="D2088" t="s">
        <v>2217</v>
      </c>
      <c r="E2088" t="str">
        <f t="shared" si="2101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0</v>
      </c>
      <c r="N2088" s="1"/>
    </row>
    <row r="2089" spans="2:14" x14ac:dyDescent="0.35">
      <c r="B2089" s="5" t="str">
        <f t="shared" si="2092"/>
        <v>SPS1</v>
      </c>
      <c r="C2089" s="5" t="str">
        <f t="shared" si="2089"/>
        <v>CH</v>
      </c>
      <c r="D2089" t="s">
        <v>2218</v>
      </c>
      <c r="E2089" t="str">
        <f t="shared" si="2101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1.796585766999992E-6</v>
      </c>
      <c r="J2089" s="1">
        <f>'[2]Electricity and CHPs_NCAP'!F$50</f>
        <v>5.3655417576956998E-6</v>
      </c>
      <c r="K2089" s="1">
        <f>'[2]Electricity and CHPs_NCAP'!G$50</f>
        <v>7.6463063036118495E-8</v>
      </c>
      <c r="L2089" s="1">
        <f>'[2]Electricity and CHPs_NCAP'!H$50</f>
        <v>1.3179347165552399E-5</v>
      </c>
      <c r="N2089" s="1"/>
    </row>
    <row r="2090" spans="2:14" x14ac:dyDescent="0.35">
      <c r="B2090" s="5" t="str">
        <f t="shared" si="2092"/>
        <v>SPS1</v>
      </c>
      <c r="C2090" s="5" t="str">
        <f t="shared" si="2089"/>
        <v>CH</v>
      </c>
      <c r="D2090" t="s">
        <v>2219</v>
      </c>
      <c r="E2090" t="str">
        <f t="shared" si="2101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3.22523526235424E-6</v>
      </c>
      <c r="J2090" s="1">
        <f>'[2]Electricity and CHPs_NCAP'!F$53</f>
        <v>8.8306663186441288E-6</v>
      </c>
      <c r="K2090" s="1">
        <f>'[2]Electricity and CHPs_NCAP'!G$53</f>
        <v>1.577288162274619E-7</v>
      </c>
      <c r="L2090" s="1">
        <f>'[2]Electricity and CHPs_NCAP'!H$53</f>
        <v>3.1384611564600105E-5</v>
      </c>
      <c r="N2090" s="1"/>
    </row>
    <row r="2091" spans="2:14" x14ac:dyDescent="0.35">
      <c r="B2091" s="5" t="str">
        <f t="shared" si="2092"/>
        <v>SPS1</v>
      </c>
      <c r="C2091" s="5" t="str">
        <f t="shared" si="2089"/>
        <v>CH</v>
      </c>
      <c r="D2091" t="s">
        <v>2220</v>
      </c>
      <c r="E2091" t="str">
        <f t="shared" si="2101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3.4333028508195999E-6</v>
      </c>
      <c r="J2091" s="1">
        <f>'[2]Electricity and CHPs_NCAP'!F$56</f>
        <v>4.2521837057307398E-6</v>
      </c>
      <c r="K2091" s="1">
        <f>'[2]Electricity and CHPs_NCAP'!G$56</f>
        <v>1.13633940142297E-7</v>
      </c>
      <c r="L2091" s="1">
        <f>'[2]Electricity and CHPs_NCAP'!H$56</f>
        <v>7.3029105250449401E-6</v>
      </c>
      <c r="N2091" s="1"/>
    </row>
    <row r="2092" spans="2:14" x14ac:dyDescent="0.35">
      <c r="B2092" s="5" t="str">
        <f t="shared" si="2092"/>
        <v>SPS1</v>
      </c>
      <c r="C2092" s="5" t="str">
        <f t="shared" si="2089"/>
        <v>CH</v>
      </c>
      <c r="D2092" t="s">
        <v>2221</v>
      </c>
      <c r="E2092" t="str">
        <f t="shared" si="2101"/>
        <v>GWe/yr.</v>
      </c>
      <c r="F2092" s="1">
        <f t="shared" ref="F2092:L2092" si="2104">F2093</f>
        <v>0</v>
      </c>
      <c r="G2092" s="1">
        <f t="shared" si="2104"/>
        <v>7.1321272539257904E-3</v>
      </c>
      <c r="H2092" s="1">
        <f t="shared" si="2104"/>
        <v>0.402134121651257</v>
      </c>
      <c r="I2092" s="1">
        <f t="shared" si="2104"/>
        <v>2.75956300363124E-5</v>
      </c>
      <c r="J2092" s="1">
        <f t="shared" si="2104"/>
        <v>2.2846322627159601E-2</v>
      </c>
      <c r="K2092" s="1">
        <f t="shared" si="2104"/>
        <v>2.9071174147862899E-7</v>
      </c>
      <c r="L2092" s="1">
        <f t="shared" si="2104"/>
        <v>0.125460729169037</v>
      </c>
      <c r="N2092" s="1"/>
    </row>
    <row r="2093" spans="2:14" x14ac:dyDescent="0.35">
      <c r="B2093" s="5" t="str">
        <f t="shared" si="2092"/>
        <v>SPS1</v>
      </c>
      <c r="C2093" s="5" t="str">
        <f t="shared" si="2089"/>
        <v>CH</v>
      </c>
      <c r="D2093" t="s">
        <v>2222</v>
      </c>
      <c r="E2093" t="str">
        <f t="shared" si="2101"/>
        <v>GWe/yr.</v>
      </c>
      <c r="F2093" s="1">
        <f>'[1]Electricity and CHPs_NCAP'!B$33</f>
        <v>0</v>
      </c>
      <c r="G2093" s="1">
        <f>'[1]Electricity and CHPs_NCAP'!C$33</f>
        <v>7.1321272539257904E-3</v>
      </c>
      <c r="H2093" s="1">
        <f>'[1]Electricity and CHPs_NCAP'!D$33</f>
        <v>0.402134121651257</v>
      </c>
      <c r="I2093" s="1">
        <f>'[1]Electricity and CHPs_NCAP'!E$33</f>
        <v>2.75956300363124E-5</v>
      </c>
      <c r="J2093" s="1">
        <f>'[2]Electricity and CHPs_NCAP'!F$33</f>
        <v>2.2846322627159601E-2</v>
      </c>
      <c r="K2093" s="1">
        <f>'[2]Electricity and CHPs_NCAP'!G$33</f>
        <v>2.9071174147862899E-7</v>
      </c>
      <c r="L2093" s="1">
        <f>'[2]Electricity and CHPs_NCAP'!H$33</f>
        <v>0.125460729169037</v>
      </c>
      <c r="N2093" s="1"/>
    </row>
    <row r="2094" spans="2:14" x14ac:dyDescent="0.35">
      <c r="B2094" s="5" t="str">
        <f t="shared" si="2092"/>
        <v>SPS1</v>
      </c>
      <c r="C2094" s="5" t="str">
        <f t="shared" si="2089"/>
        <v>CH</v>
      </c>
      <c r="D2094" t="s">
        <v>2223</v>
      </c>
      <c r="E2094" t="str">
        <f t="shared" si="2101"/>
        <v>GWe/yr.</v>
      </c>
      <c r="F2094" s="1">
        <f t="shared" ref="F2094:K2094" si="2105">SUM(F2095:F2099)</f>
        <v>0</v>
      </c>
      <c r="G2094" s="1">
        <f t="shared" si="2105"/>
        <v>8.669471074306031E-6</v>
      </c>
      <c r="H2094" s="1">
        <f t="shared" si="2105"/>
        <v>4.5239070022416445</v>
      </c>
      <c r="I2094" s="1">
        <f t="shared" si="2105"/>
        <v>2.1461156711181175</v>
      </c>
      <c r="J2094" s="1">
        <f t="shared" si="2105"/>
        <v>1.7598096576714894</v>
      </c>
      <c r="K2094" s="1">
        <f t="shared" si="2105"/>
        <v>2.4219959328635663</v>
      </c>
      <c r="L2094" s="1">
        <f t="shared" ref="L2094" si="2106">SUM(L2095:L2099)</f>
        <v>7.1482930638221411</v>
      </c>
      <c r="N2094" s="1"/>
    </row>
    <row r="2095" spans="2:14" x14ac:dyDescent="0.35">
      <c r="B2095" s="5" t="str">
        <f t="shared" si="2092"/>
        <v>SPS1</v>
      </c>
      <c r="C2095" s="5" t="str">
        <f t="shared" si="2089"/>
        <v>CH</v>
      </c>
      <c r="D2095" t="s">
        <v>2224</v>
      </c>
      <c r="E2095" t="str">
        <f t="shared" si="2101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0.12066642319246701</v>
      </c>
      <c r="I2095" s="1">
        <f>'[1]Electricity and CHPs_NCAP'!E$34</f>
        <v>2.3701566231692586E-2</v>
      </c>
      <c r="J2095" s="1">
        <f>'[2]Electricity and CHPs_NCAP'!F$34</f>
        <v>5.7209692757576876E-5</v>
      </c>
      <c r="K2095" s="1">
        <f>'[2]Electricity and CHPs_NCAP'!G$34</f>
        <v>6.9176654752789113E-5</v>
      </c>
      <c r="L2095" s="1">
        <f>'[2]Electricity and CHPs_NCAP'!H$34</f>
        <v>2.1218233499607489E-7</v>
      </c>
      <c r="N2095" s="1"/>
    </row>
    <row r="2096" spans="2:14" x14ac:dyDescent="0.35">
      <c r="B2096" s="5" t="str">
        <f t="shared" si="2092"/>
        <v>SPS1</v>
      </c>
      <c r="C2096" s="5" t="str">
        <f t="shared" si="2089"/>
        <v>CH</v>
      </c>
      <c r="D2096" t="s">
        <v>2225</v>
      </c>
      <c r="E2096" t="str">
        <f t="shared" si="2101"/>
        <v>GWe/yr.</v>
      </c>
      <c r="F2096" s="1">
        <f>'[1]Electricity and CHPs_NCAP'!B$35</f>
        <v>0</v>
      </c>
      <c r="G2096" s="1">
        <f>'[1]Electricity and CHPs_NCAP'!C$35</f>
        <v>1.78587344204381E-8</v>
      </c>
      <c r="H2096" s="1">
        <f>'[1]Electricity and CHPs_NCAP'!D$35</f>
        <v>1.7679648698347199</v>
      </c>
      <c r="I2096" s="1">
        <f>'[1]Electricity and CHPs_NCAP'!E$35</f>
        <v>2.1224130459936799</v>
      </c>
      <c r="J2096" s="1">
        <f>'[2]Electricity and CHPs_NCAP'!F$35</f>
        <v>0.69052429781414504</v>
      </c>
      <c r="K2096" s="1">
        <f>'[2]Electricity and CHPs_NCAP'!G$35</f>
        <v>0.89965810913775801</v>
      </c>
      <c r="L2096" s="1">
        <f>'[2]Electricity and CHPs_NCAP'!H$35</f>
        <v>2.8113238306838402</v>
      </c>
      <c r="N2096" s="1"/>
    </row>
    <row r="2097" spans="2:14" x14ac:dyDescent="0.35">
      <c r="B2097" s="5" t="str">
        <f t="shared" si="2092"/>
        <v>SPS1</v>
      </c>
      <c r="C2097" s="5" t="str">
        <f t="shared" si="2089"/>
        <v>CH</v>
      </c>
      <c r="D2097" t="s">
        <v>2226</v>
      </c>
      <c r="E2097" t="str">
        <f t="shared" si="2101"/>
        <v>GWe/yr.</v>
      </c>
      <c r="F2097" s="1">
        <f>'[1]Electricity and CHPs_NCAP'!B$36</f>
        <v>0</v>
      </c>
      <c r="G2097" s="1">
        <f>'[1]Electricity and CHPs_NCAP'!C$36</f>
        <v>4.0488232233393173E-6</v>
      </c>
      <c r="H2097" s="1">
        <f>'[1]Electricity and CHPs_NCAP'!D$36</f>
        <v>1.5136345124583671E-4</v>
      </c>
      <c r="I2097" s="1">
        <f>'[1]Electricity and CHPs_NCAP'!E$36</f>
        <v>2.2558270568979002E-7</v>
      </c>
      <c r="J2097" s="1">
        <f>'[2]Electricity and CHPs_NCAP'!F$36</f>
        <v>0.29984697191248033</v>
      </c>
      <c r="K2097" s="1">
        <f>'[2]Electricity and CHPs_NCAP'!G$36</f>
        <v>0.66480216141750603</v>
      </c>
      <c r="L2097" s="1">
        <f>'[2]Electricity and CHPs_NCAP'!H$36</f>
        <v>0.68600370427506252</v>
      </c>
      <c r="N2097" s="1"/>
    </row>
    <row r="2098" spans="2:14" x14ac:dyDescent="0.35">
      <c r="B2098" s="5" t="str">
        <f t="shared" si="2092"/>
        <v>SPS1</v>
      </c>
      <c r="C2098" s="5" t="str">
        <f t="shared" si="2089"/>
        <v>CH</v>
      </c>
      <c r="D2098" t="s">
        <v>2227</v>
      </c>
      <c r="E2098" t="str">
        <f t="shared" si="2101"/>
        <v>GWe/yr.</v>
      </c>
      <c r="F2098" s="1">
        <f>'[1]Electricity and CHPs_NCAP'!B$37</f>
        <v>0</v>
      </c>
      <c r="G2098" s="1">
        <f>'[1]Electricity and CHPs_NCAP'!C$37</f>
        <v>4.5860799951374544E-6</v>
      </c>
      <c r="H2098" s="1">
        <f>'[1]Electricity and CHPs_NCAP'!D$37</f>
        <v>0.63040802695467102</v>
      </c>
      <c r="I2098" s="1">
        <f>'[1]Electricity and CHPs_NCAP'!E$37</f>
        <v>2.7163743878570002E-7</v>
      </c>
      <c r="J2098" s="1">
        <f>'[2]Electricity and CHPs_NCAP'!F$37</f>
        <v>0.14465743736057948</v>
      </c>
      <c r="K2098" s="1">
        <f>'[2]Electricity and CHPs_NCAP'!G$37</f>
        <v>0.28406666041945439</v>
      </c>
      <c r="L2098" s="1">
        <f>'[2]Electricity and CHPs_NCAP'!H$37</f>
        <v>0.94523622847982303</v>
      </c>
      <c r="N2098" s="1"/>
    </row>
    <row r="2099" spans="2:14" x14ac:dyDescent="0.35">
      <c r="B2099" s="5" t="str">
        <f t="shared" si="2092"/>
        <v>SPS1</v>
      </c>
      <c r="C2099" s="5" t="str">
        <f t="shared" si="2089"/>
        <v>CH</v>
      </c>
      <c r="D2099" t="s">
        <v>2228</v>
      </c>
      <c r="E2099" t="str">
        <f t="shared" si="2101"/>
        <v>GWe/yr.</v>
      </c>
      <c r="F2099" s="1">
        <f>'[1]Electricity and CHPs_NCAP'!B$38</f>
        <v>0</v>
      </c>
      <c r="G2099" s="1">
        <f>'[1]Electricity and CHPs_NCAP'!C$38</f>
        <v>1.6709121408821401E-8</v>
      </c>
      <c r="H2099" s="1">
        <f>'[1]Electricity and CHPs_NCAP'!D$38</f>
        <v>2.0047163188085402</v>
      </c>
      <c r="I2099" s="1">
        <f>'[1]Electricity and CHPs_NCAP'!E$38</f>
        <v>5.6167260048787296E-7</v>
      </c>
      <c r="J2099" s="1">
        <f>'[2]Electricity and CHPs_NCAP'!F$38</f>
        <v>0.62472374089152705</v>
      </c>
      <c r="K2099" s="1">
        <f>'[2]Electricity and CHPs_NCAP'!G$38</f>
        <v>0.57339982523409505</v>
      </c>
      <c r="L2099" s="1">
        <f>'[2]Electricity and CHPs_NCAP'!H$38</f>
        <v>2.70572908820108</v>
      </c>
      <c r="N2099" s="1"/>
    </row>
    <row r="2100" spans="2:14" x14ac:dyDescent="0.35">
      <c r="B2100" s="5" t="str">
        <f t="shared" si="2092"/>
        <v>SPS1</v>
      </c>
      <c r="C2100" s="5" t="str">
        <f t="shared" si="2089"/>
        <v>CH</v>
      </c>
      <c r="D2100" t="s">
        <v>2229</v>
      </c>
      <c r="E2100" t="str">
        <f t="shared" si="2101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3.2318009094882099E-5</v>
      </c>
      <c r="L2100" s="1">
        <f>'[2]Electricity and CHPs_NCAP'!H$32</f>
        <v>1.0305164921977199E-8</v>
      </c>
      <c r="N2100" s="1"/>
    </row>
    <row r="2101" spans="2:14" x14ac:dyDescent="0.35">
      <c r="B2101" s="5" t="str">
        <f t="shared" si="2092"/>
        <v>SPS1</v>
      </c>
      <c r="C2101" s="5" t="str">
        <f t="shared" si="2089"/>
        <v>CH</v>
      </c>
      <c r="D2101" t="s">
        <v>2230</v>
      </c>
      <c r="E2101" t="str">
        <f t="shared" si="2101"/>
        <v>GWe/yr.</v>
      </c>
      <c r="F2101" s="1">
        <f t="shared" ref="F2101:K2101" si="2107">F2100</f>
        <v>0</v>
      </c>
      <c r="G2101" s="1">
        <f t="shared" si="2107"/>
        <v>0</v>
      </c>
      <c r="H2101" s="1">
        <f t="shared" si="2107"/>
        <v>0</v>
      </c>
      <c r="I2101" s="1">
        <f t="shared" si="2107"/>
        <v>0</v>
      </c>
      <c r="J2101" s="1">
        <f t="shared" si="2107"/>
        <v>0</v>
      </c>
      <c r="K2101" s="1">
        <f t="shared" si="2107"/>
        <v>3.2318009094882099E-5</v>
      </c>
      <c r="L2101" s="1">
        <f t="shared" ref="L2101" si="2108">L2100</f>
        <v>1.0305164921977199E-8</v>
      </c>
      <c r="N2101" s="1"/>
    </row>
    <row r="2102" spans="2:14" x14ac:dyDescent="0.35">
      <c r="B2102" s="5" t="str">
        <f t="shared" si="2092"/>
        <v>SPS1</v>
      </c>
      <c r="C2102" s="5" t="str">
        <f t="shared" si="2089"/>
        <v>CH</v>
      </c>
      <c r="D2102" t="s">
        <v>2231</v>
      </c>
      <c r="E2102" t="str">
        <f t="shared" si="2101"/>
        <v>GWe/yr.</v>
      </c>
      <c r="F2102" s="1">
        <f t="shared" ref="F2102:K2102" si="2109">SUM(F2103:F2105)</f>
        <v>0</v>
      </c>
      <c r="G2102" s="1">
        <f t="shared" si="2109"/>
        <v>0</v>
      </c>
      <c r="H2102" s="1">
        <f t="shared" si="2109"/>
        <v>0</v>
      </c>
      <c r="I2102" s="1">
        <f t="shared" si="2109"/>
        <v>0</v>
      </c>
      <c r="J2102" s="1">
        <f t="shared" si="2109"/>
        <v>0</v>
      </c>
      <c r="K2102" s="1">
        <f t="shared" si="2109"/>
        <v>0</v>
      </c>
      <c r="L2102" s="1">
        <f t="shared" ref="L2102" si="2110">SUM(L2103:L2105)</f>
        <v>0</v>
      </c>
      <c r="N2102" s="1"/>
    </row>
    <row r="2103" spans="2:14" x14ac:dyDescent="0.35">
      <c r="B2103" s="5" t="str">
        <f t="shared" si="2092"/>
        <v>SPS1</v>
      </c>
      <c r="C2103" s="5" t="str">
        <f t="shared" si="2089"/>
        <v>CH</v>
      </c>
      <c r="D2103" t="s">
        <v>2232</v>
      </c>
      <c r="E2103" t="str">
        <f t="shared" si="2101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0</v>
      </c>
      <c r="L2103" s="1">
        <f>'[2]Electricity and CHPs_NCAP'!H$30</f>
        <v>0</v>
      </c>
      <c r="N2103" s="1"/>
    </row>
    <row r="2104" spans="2:14" x14ac:dyDescent="0.35">
      <c r="B2104" s="5" t="str">
        <f t="shared" si="2092"/>
        <v>SPS1</v>
      </c>
      <c r="C2104" s="5" t="str">
        <f t="shared" si="2089"/>
        <v>CH</v>
      </c>
      <c r="D2104" t="s">
        <v>2233</v>
      </c>
      <c r="E2104" t="str">
        <f t="shared" si="2101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0</v>
      </c>
      <c r="K2104" s="1">
        <f>'[2]Electricity and CHPs_NCAP'!G$46</f>
        <v>0</v>
      </c>
      <c r="L2104" s="1">
        <f>'[2]Electricity and CHPs_NCAP'!H$46</f>
        <v>0</v>
      </c>
      <c r="N2104" s="1"/>
    </row>
    <row r="2105" spans="2:14" x14ac:dyDescent="0.35">
      <c r="B2105" s="5" t="str">
        <f t="shared" si="2092"/>
        <v>SPS1</v>
      </c>
      <c r="C2105" s="5" t="str">
        <f t="shared" si="2089"/>
        <v>CH</v>
      </c>
      <c r="D2105" t="s">
        <v>2234</v>
      </c>
      <c r="E2105" t="str">
        <f t="shared" si="2101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0</v>
      </c>
      <c r="J2105" s="1">
        <f>'[2]Electricity and CHPs_NCAP'!F$57</f>
        <v>0</v>
      </c>
      <c r="K2105" s="1">
        <f>'[2]Electricity and CHPs_NCAP'!G$57</f>
        <v>0</v>
      </c>
      <c r="L2105" s="1">
        <f>'[2]Electricity and CHPs_NCAP'!H$57</f>
        <v>0</v>
      </c>
      <c r="N2105" s="1"/>
    </row>
    <row r="2106" spans="2:14" x14ac:dyDescent="0.35">
      <c r="B2106" s="5" t="str">
        <f t="shared" si="2092"/>
        <v>SPS1</v>
      </c>
      <c r="C2106" s="5" t="str">
        <f t="shared" si="2089"/>
        <v>CH</v>
      </c>
      <c r="D2106" t="s">
        <v>2235</v>
      </c>
      <c r="E2106" t="str">
        <f t="shared" si="2101"/>
        <v>GWe/yr.</v>
      </c>
      <c r="F2106" s="1">
        <f t="shared" ref="F2106:K2106" si="2111">SUM(F2107:F2113)</f>
        <v>1.334027432296546E-3</v>
      </c>
      <c r="G2106" s="1">
        <f t="shared" si="2111"/>
        <v>2.1345396537297708E-6</v>
      </c>
      <c r="H2106" s="1">
        <f t="shared" si="2111"/>
        <v>0.36873671282621756</v>
      </c>
      <c r="I2106" s="1">
        <f t="shared" si="2111"/>
        <v>0.11733960104843622</v>
      </c>
      <c r="J2106" s="1">
        <f t="shared" si="2111"/>
        <v>0.21359546158671516</v>
      </c>
      <c r="K2106" s="1">
        <f t="shared" si="2111"/>
        <v>0.23337645486963365</v>
      </c>
      <c r="L2106" s="1">
        <f t="shared" ref="L2106" si="2112">SUM(L2107:L2113)</f>
        <v>0.39174426537398505</v>
      </c>
      <c r="N2106" s="1"/>
    </row>
    <row r="2107" spans="2:14" x14ac:dyDescent="0.35">
      <c r="B2107" s="5" t="str">
        <f t="shared" si="2092"/>
        <v>SPS1</v>
      </c>
      <c r="C2107" s="5" t="str">
        <f t="shared" si="2089"/>
        <v>CH</v>
      </c>
      <c r="D2107" t="s">
        <v>2236</v>
      </c>
      <c r="E2107" t="str">
        <f t="shared" si="2101"/>
        <v>GWe/yr.</v>
      </c>
      <c r="F2107" s="1">
        <f>'[1]Electricity and CHPs_NCAP'!B$63</f>
        <v>0</v>
      </c>
      <c r="G2107" s="1">
        <f>'[1]Electricity and CHPs_NCAP'!C$63</f>
        <v>8.4795812707926096E-8</v>
      </c>
      <c r="H2107" s="1">
        <f>'[1]Electricity and CHPs_NCAP'!D$63</f>
        <v>8.6838575934311005E-8</v>
      </c>
      <c r="I2107" s="1">
        <f>'[1]Electricity and CHPs_NCAP'!E$63</f>
        <v>8.4290698011414404E-8</v>
      </c>
      <c r="J2107" s="1">
        <f>'[2]Electricity and CHPs_NCAP'!F$63</f>
        <v>2.8273124581524201E-8</v>
      </c>
      <c r="K2107" s="1">
        <f>'[2]Electricity and CHPs_NCAP'!G$63</f>
        <v>3.6019082083324801E-8</v>
      </c>
      <c r="L2107" s="1">
        <f>'[2]Electricity and CHPs_NCAP'!H$63</f>
        <v>3.3096998667589998E-8</v>
      </c>
      <c r="N2107" s="1"/>
    </row>
    <row r="2108" spans="2:14" x14ac:dyDescent="0.35">
      <c r="B2108" s="5" t="str">
        <f t="shared" si="2092"/>
        <v>SPS1</v>
      </c>
      <c r="C2108" s="5" t="str">
        <f t="shared" si="2089"/>
        <v>CH</v>
      </c>
      <c r="D2108" t="s">
        <v>2237</v>
      </c>
      <c r="E2108" t="str">
        <f t="shared" si="2101"/>
        <v>GWe/yr.</v>
      </c>
      <c r="F2108" s="1">
        <f>'[1]Electricity and CHPs_NCAP'!B$64</f>
        <v>2.27130938849804E-4</v>
      </c>
      <c r="G2108" s="1">
        <f>'[1]Electricity and CHPs_NCAP'!C$64</f>
        <v>2.86598755482789E-7</v>
      </c>
      <c r="H2108" s="1">
        <f>'[1]Electricity and CHPs_NCAP'!D$64</f>
        <v>6.0743992761981298E-3</v>
      </c>
      <c r="I2108" s="1">
        <f>'[1]Electricity and CHPs_NCAP'!E$64</f>
        <v>2.0257101790822098E-2</v>
      </c>
      <c r="J2108" s="1">
        <f>'[2]Electricity and CHPs_NCAP'!F$64</f>
        <v>3.6025205397518401E-3</v>
      </c>
      <c r="K2108" s="1">
        <f>'[2]Electricity and CHPs_NCAP'!G$64</f>
        <v>7.5734533198746701E-3</v>
      </c>
      <c r="L2108" s="1">
        <f>'[2]Electricity and CHPs_NCAP'!H$64</f>
        <v>8.8264338800938692E-3</v>
      </c>
      <c r="N2108" s="1"/>
    </row>
    <row r="2109" spans="2:14" x14ac:dyDescent="0.35">
      <c r="B2109" s="5" t="str">
        <f t="shared" si="2092"/>
        <v>SPS1</v>
      </c>
      <c r="C2109" s="5" t="str">
        <f t="shared" si="2089"/>
        <v>CH</v>
      </c>
      <c r="D2109" t="s">
        <v>2238</v>
      </c>
      <c r="E2109" t="str">
        <f t="shared" si="2101"/>
        <v>GWe/yr.</v>
      </c>
      <c r="F2109" s="1">
        <f>'[1]Electricity and CHPs_NCAP'!B$65</f>
        <v>1.6545657109003699E-4</v>
      </c>
      <c r="G2109" s="1">
        <f>'[1]Electricity and CHPs_NCAP'!C$65</f>
        <v>2.1387204600278399E-7</v>
      </c>
      <c r="H2109" s="1">
        <f>'[1]Electricity and CHPs_NCAP'!D$65</f>
        <v>3.7181924230773101E-3</v>
      </c>
      <c r="I2109" s="1">
        <f>'[1]Electricity and CHPs_NCAP'!E$65</f>
        <v>1.05546537276884E-2</v>
      </c>
      <c r="J2109" s="1">
        <f>'[2]Electricity and CHPs_NCAP'!F$65</f>
        <v>2.1854940294393399E-3</v>
      </c>
      <c r="K2109" s="1">
        <f>'[2]Electricity and CHPs_NCAP'!G$65</f>
        <v>4.43631578155589E-3</v>
      </c>
      <c r="L2109" s="1">
        <f>'[2]Electricity and CHPs_NCAP'!H$65</f>
        <v>4.5020489962761699E-3</v>
      </c>
      <c r="N2109" s="1"/>
    </row>
    <row r="2110" spans="2:14" x14ac:dyDescent="0.35">
      <c r="B2110" s="5" t="str">
        <f t="shared" si="2092"/>
        <v>SPS1</v>
      </c>
      <c r="C2110" s="5" t="str">
        <f t="shared" si="2089"/>
        <v>CH</v>
      </c>
      <c r="D2110" t="s">
        <v>2239</v>
      </c>
      <c r="E2110" t="str">
        <f t="shared" si="2101"/>
        <v>GWe/yr.</v>
      </c>
      <c r="F2110" s="1">
        <f>'[1]Electricity and CHPs_NCAP'!B$66</f>
        <v>1.5873746779717E-4</v>
      </c>
      <c r="G2110" s="1">
        <f>'[1]Electricity and CHPs_NCAP'!C$66</f>
        <v>2.6147105143463598E-7</v>
      </c>
      <c r="H2110" s="1">
        <f>'[1]Electricity and CHPs_NCAP'!D$66</f>
        <v>6.9322770828444E-2</v>
      </c>
      <c r="I2110" s="1">
        <f>'[1]Electricity and CHPs_NCAP'!E$66</f>
        <v>8.3760384804503901E-2</v>
      </c>
      <c r="J2110" s="1">
        <f>'[2]Electricity and CHPs_NCAP'!F$66</f>
        <v>3.9881408701254402E-2</v>
      </c>
      <c r="K2110" s="1">
        <f>'[2]Electricity and CHPs_NCAP'!G$66</f>
        <v>4.2744773770564397E-2</v>
      </c>
      <c r="L2110" s="1">
        <f>'[2]Electricity and CHPs_NCAP'!H$66</f>
        <v>7.2166778405477403E-2</v>
      </c>
      <c r="N2110" s="1"/>
    </row>
    <row r="2111" spans="2:14" x14ac:dyDescent="0.35">
      <c r="B2111" s="5" t="str">
        <f t="shared" si="2092"/>
        <v>SPS1</v>
      </c>
      <c r="C2111" s="5" t="str">
        <f t="shared" si="2089"/>
        <v>CH</v>
      </c>
      <c r="D2111" t="s">
        <v>2240</v>
      </c>
      <c r="E2111" t="str">
        <f t="shared" si="2101"/>
        <v>GWe/yr.</v>
      </c>
      <c r="F2111" s="1">
        <f>'[1]Electricity and CHPs_NCAP'!B$67</f>
        <v>3.1479725580527303E-4</v>
      </c>
      <c r="G2111" s="1">
        <f>'[1]Electricity and CHPs_NCAP'!C$67</f>
        <v>5.1691208332084695E-7</v>
      </c>
      <c r="H2111" s="1">
        <f>'[1]Electricity and CHPs_NCAP'!D$67</f>
        <v>0.12776561605488129</v>
      </c>
      <c r="I2111" s="1">
        <f>'[1]Electricity and CHPs_NCAP'!E$67</f>
        <v>6.9803953939970103E-4</v>
      </c>
      <c r="J2111" s="1">
        <f>'[2]Electricity and CHPs_NCAP'!F$67</f>
        <v>7.4795022022167104E-2</v>
      </c>
      <c r="K2111" s="1">
        <f>'[2]Electricity and CHPs_NCAP'!G$67</f>
        <v>7.93015908232617E-2</v>
      </c>
      <c r="L2111" s="1">
        <f>'[2]Electricity and CHPs_NCAP'!H$67</f>
        <v>0.13820162646058592</v>
      </c>
      <c r="N2111" s="1"/>
    </row>
    <row r="2112" spans="2:14" x14ac:dyDescent="0.35">
      <c r="B2112" s="5" t="str">
        <f t="shared" si="2092"/>
        <v>SPS1</v>
      </c>
      <c r="C2112" s="5" t="str">
        <f t="shared" si="2089"/>
        <v>CH</v>
      </c>
      <c r="D2112" t="s">
        <v>2241</v>
      </c>
      <c r="E2112" t="str">
        <f t="shared" si="2101"/>
        <v>GWe/yr.</v>
      </c>
      <c r="F2112" s="1">
        <f>'[1]Electricity and CHPs_NCAP'!B$68</f>
        <v>3.0864747361540297E-4</v>
      </c>
      <c r="G2112" s="1">
        <f>'[1]Electricity and CHPs_NCAP'!C$68</f>
        <v>5.08797203939092E-7</v>
      </c>
      <c r="H2112" s="1">
        <f>'[1]Electricity and CHPs_NCAP'!D$68</f>
        <v>3.7927368718747898E-2</v>
      </c>
      <c r="I2112" s="1">
        <f>'[1]Electricity and CHPs_NCAP'!E$68</f>
        <v>1.2060377406137549E-3</v>
      </c>
      <c r="J2112" s="1">
        <f>'[2]Electricity and CHPs_NCAP'!F$68</f>
        <v>2.2000806080665299E-2</v>
      </c>
      <c r="K2112" s="1">
        <f>'[2]Electricity and CHPs_NCAP'!G$68</f>
        <v>2.38135370604819E-2</v>
      </c>
      <c r="L2112" s="1">
        <f>'[2]Electricity and CHPs_NCAP'!H$68</f>
        <v>4.0059310028499995E-2</v>
      </c>
      <c r="N2112" s="1"/>
    </row>
    <row r="2113" spans="2:14" x14ac:dyDescent="0.35">
      <c r="B2113" s="5" t="str">
        <f t="shared" si="2092"/>
        <v>SPS1</v>
      </c>
      <c r="C2113" s="5" t="str">
        <f t="shared" si="2089"/>
        <v>CH</v>
      </c>
      <c r="D2113" t="s">
        <v>2242</v>
      </c>
      <c r="E2113" t="str">
        <f t="shared" si="2101"/>
        <v>GWe/yr.</v>
      </c>
      <c r="F2113" s="1">
        <f>'[1]Electricity and CHPs_NCAP'!B$69</f>
        <v>1.59257725138859E-4</v>
      </c>
      <c r="G2113" s="1">
        <f>'[1]Electricity and CHPs_NCAP'!C$69</f>
        <v>2.62092700841697E-7</v>
      </c>
      <c r="H2113" s="1">
        <f>'[1]Electricity and CHPs_NCAP'!D$69</f>
        <v>0.123928278686293</v>
      </c>
      <c r="I2113" s="1">
        <f>'[1]Electricity and CHPs_NCAP'!E$69</f>
        <v>8.6329915471033795E-4</v>
      </c>
      <c r="J2113" s="1">
        <f>'[2]Electricity and CHPs_NCAP'!F$69</f>
        <v>7.1130181940312606E-2</v>
      </c>
      <c r="K2113" s="1">
        <f>'[2]Electricity and CHPs_NCAP'!G$69</f>
        <v>7.5506748094813003E-2</v>
      </c>
      <c r="L2113" s="1">
        <f>'[2]Electricity and CHPs_NCAP'!H$69</f>
        <v>0.12798803450605301</v>
      </c>
      <c r="N2113" s="1"/>
    </row>
    <row r="2114" spans="2:14" x14ac:dyDescent="0.35">
      <c r="B2114" s="5" t="str">
        <f>SPS4_NUC_High!B1902</f>
        <v>SPS1</v>
      </c>
      <c r="C2114" s="5" t="str">
        <f>SPS4_NUC_High!C1902</f>
        <v>CH</v>
      </c>
      <c r="D2114" s="2" t="s">
        <v>2243</v>
      </c>
      <c r="E2114" s="2" t="s">
        <v>1972</v>
      </c>
      <c r="F2114" s="3">
        <f t="shared" ref="F2114:K2114" si="2113">SUM(F2115:F2164)</f>
        <v>3.0042704622782531E-4</v>
      </c>
      <c r="G2114" s="3">
        <f t="shared" si="2113"/>
        <v>0.48773993507981106</v>
      </c>
      <c r="H2114" s="3">
        <f t="shared" si="2113"/>
        <v>0.86011789819979723</v>
      </c>
      <c r="I2114" s="3">
        <f t="shared" si="2113"/>
        <v>2.1201535023455111</v>
      </c>
      <c r="J2114" s="3">
        <f t="shared" si="2113"/>
        <v>3.1343051812561775</v>
      </c>
      <c r="K2114" s="3">
        <f t="shared" si="2113"/>
        <v>2.1270133845550099</v>
      </c>
      <c r="L2114" s="3">
        <f t="shared" ref="L2114" si="2114">SUM(L2115:L2164)</f>
        <v>4.6228147762678988</v>
      </c>
      <c r="N2114" s="1"/>
    </row>
    <row r="2115" spans="2:14" x14ac:dyDescent="0.35">
      <c r="B2115" s="5" t="str">
        <f t="shared" ref="B2115:B2146" si="2115">B2114</f>
        <v>SPS1</v>
      </c>
      <c r="C2115" s="5" t="str">
        <f t="shared" ref="C2115:C2146" si="2116">C2114</f>
        <v>CH</v>
      </c>
      <c r="D2115" t="s">
        <v>2244</v>
      </c>
      <c r="E2115" t="str">
        <f t="shared" ref="E2115:E2146" si="2117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5"/>
        <v>SPS1</v>
      </c>
      <c r="C2116" s="5" t="str">
        <f t="shared" si="2116"/>
        <v>CH</v>
      </c>
      <c r="D2116" t="s">
        <v>2245</v>
      </c>
      <c r="E2116" t="str">
        <f t="shared" si="2117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3.42633244576003E-5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2.15768367252292E-4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1.14560930391782E-4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2.4525124376905999E-4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1.13688452047024E-4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1.1264255216751899E-3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0.107813539757094</v>
      </c>
      <c r="N2116" s="1"/>
    </row>
    <row r="2117" spans="2:14" x14ac:dyDescent="0.35">
      <c r="B2117" s="5" t="str">
        <f t="shared" si="2115"/>
        <v>SPS1</v>
      </c>
      <c r="C2117" s="5" t="str">
        <f t="shared" si="2116"/>
        <v>CH</v>
      </c>
      <c r="D2117" t="s">
        <v>2246</v>
      </c>
      <c r="E2117" t="str">
        <f t="shared" si="2117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6.7085088226995004E-5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1.2164697062221699E-4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3.26022592852319E-3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0.59799211212910097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0.971892112868873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0.78978075275099402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1.33000668035462</v>
      </c>
      <c r="N2117" s="1"/>
    </row>
    <row r="2118" spans="2:14" x14ac:dyDescent="0.35">
      <c r="B2118" s="5" t="str">
        <f t="shared" si="2115"/>
        <v>SPS1</v>
      </c>
      <c r="C2118" s="5" t="str">
        <f t="shared" si="2116"/>
        <v>CH</v>
      </c>
      <c r="D2118" t="s">
        <v>2247</v>
      </c>
      <c r="E2118" t="str">
        <f t="shared" si="2117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5.013110440148E-5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4.6667405770797104E-3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1.0918189391432799E-3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2.41298576156974E-2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0.263477720396112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8.6180990068071103E-2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0.23531296252064701</v>
      </c>
      <c r="N2118" s="1"/>
    </row>
    <row r="2119" spans="2:14" x14ac:dyDescent="0.35">
      <c r="B2119" s="5" t="str">
        <f t="shared" si="2115"/>
        <v>SPS1</v>
      </c>
      <c r="C2119" s="5" t="str">
        <f t="shared" si="2116"/>
        <v>CH</v>
      </c>
      <c r="D2119" t="s">
        <v>2248</v>
      </c>
      <c r="E2119" t="str">
        <f t="shared" si="2117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1.4894752914175E-4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8.2139194923694397E-2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0.26535226436057602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0.81017892991337404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0.49934387790896601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0.37898966863158301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1.2627350361221401</v>
      </c>
      <c r="N2119" s="1"/>
    </row>
    <row r="2120" spans="2:14" x14ac:dyDescent="0.35">
      <c r="B2120" s="5" t="str">
        <f t="shared" si="2115"/>
        <v>SPS1</v>
      </c>
      <c r="C2120" s="5" t="str">
        <f t="shared" si="2116"/>
        <v>CH</v>
      </c>
      <c r="D2120" t="s">
        <v>2249</v>
      </c>
      <c r="E2120" t="str">
        <f t="shared" si="2117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2.7355704315176098E-5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1.9891121305505801E-5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2.03150501720048E-5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1.1654377655884499E-5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1.060599091029E-5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8.8254608371795208E-6</v>
      </c>
      <c r="N2120" s="1"/>
    </row>
    <row r="2121" spans="2:14" x14ac:dyDescent="0.35">
      <c r="B2121" s="5" t="str">
        <f t="shared" si="2115"/>
        <v>SPS1</v>
      </c>
      <c r="C2121" s="5" t="str">
        <f t="shared" si="2116"/>
        <v>CH</v>
      </c>
      <c r="D2121" t="s">
        <v>2250</v>
      </c>
      <c r="E2121" t="str">
        <f t="shared" si="2117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1.02856912284019E-5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2.72595851980816E-5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3.16098096613007E-5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3.5597150134112097E-5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3.3394547097561901E-5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2.6512605216427399E-5</v>
      </c>
      <c r="N2121" s="1"/>
    </row>
    <row r="2122" spans="2:14" x14ac:dyDescent="0.35">
      <c r="B2122" s="5" t="str">
        <f t="shared" si="2115"/>
        <v>SPS1</v>
      </c>
      <c r="C2122" s="5" t="str">
        <f t="shared" si="2116"/>
        <v>CH</v>
      </c>
      <c r="D2122" t="s">
        <v>2251</v>
      </c>
      <c r="E2122" t="str">
        <f t="shared" si="2117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3.1706714954035597E-2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4.3331659067877101E-2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0.28988664841887402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0.121496209317295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0.10297725520136999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0.23629764082135499</v>
      </c>
      <c r="N2122" s="1"/>
    </row>
    <row r="2123" spans="2:14" x14ac:dyDescent="0.35">
      <c r="B2123" s="5" t="str">
        <f t="shared" si="2115"/>
        <v>SPS1</v>
      </c>
      <c r="C2123" s="5" t="str">
        <f t="shared" si="2116"/>
        <v>CH</v>
      </c>
      <c r="D2123" t="s">
        <v>2252</v>
      </c>
      <c r="E2123" t="str">
        <f t="shared" si="2117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6.1343690126034402E-5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6.5527307843675096E-5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6.4110519429088305E-5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2.9846505066898801E-5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2.7999999714785599E-5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3.0987176782339303E-5</v>
      </c>
      <c r="N2123" s="1"/>
    </row>
    <row r="2124" spans="2:14" x14ac:dyDescent="0.35">
      <c r="B2124" s="5" t="str">
        <f t="shared" si="2115"/>
        <v>SPS1</v>
      </c>
      <c r="C2124" s="5" t="str">
        <f t="shared" si="2116"/>
        <v>CH</v>
      </c>
      <c r="D2124" t="s">
        <v>2253</v>
      </c>
      <c r="E2124" t="str">
        <f t="shared" si="2117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3.1717633294114098E-5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2.0980256415893502E-5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2.11557939796258E-5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1.1799556773593299E-5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1.04132265797168E-5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8.9789472609415792E-6</v>
      </c>
      <c r="N2124" s="1"/>
    </row>
    <row r="2125" spans="2:14" x14ac:dyDescent="0.35">
      <c r="B2125" s="5" t="str">
        <f t="shared" si="2115"/>
        <v>SPS1</v>
      </c>
      <c r="C2125" s="5" t="str">
        <f t="shared" si="2116"/>
        <v>CH</v>
      </c>
      <c r="D2125" t="s">
        <v>2254</v>
      </c>
      <c r="E2125" t="str">
        <f t="shared" si="2117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1.4273073511832E-5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3.5683927767659902E-5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3.7144317870447597E-5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4.3822282750946397E-5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3.2297671031443301E-5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2.7772855026115699E-5</v>
      </c>
      <c r="N2125" s="1"/>
    </row>
    <row r="2126" spans="2:14" x14ac:dyDescent="0.35">
      <c r="B2126" s="5" t="str">
        <f t="shared" si="2115"/>
        <v>SPS1</v>
      </c>
      <c r="C2126" s="5" t="str">
        <f t="shared" si="2116"/>
        <v>CH</v>
      </c>
      <c r="D2126" t="s">
        <v>2255</v>
      </c>
      <c r="E2126" t="str">
        <f t="shared" si="2117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6.3757420382205597E-3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6.3534660744775998E-2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0.19956563432108401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0.399047618894114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0.23291299851502101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0.40873349281091498</v>
      </c>
      <c r="N2126" s="1"/>
    </row>
    <row r="2127" spans="2:14" x14ac:dyDescent="0.35">
      <c r="B2127" s="5" t="str">
        <f t="shared" si="2115"/>
        <v>SPS1</v>
      </c>
      <c r="C2127" s="5" t="str">
        <f t="shared" si="2116"/>
        <v>CH</v>
      </c>
      <c r="D2127" t="s">
        <v>2256</v>
      </c>
      <c r="E2127" t="str">
        <f t="shared" si="2117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7.2657349092792399E-5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7.5299166933028393E-5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7.2329527108636895E-5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3.2895660693110203E-5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2.7912800698547399E-5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3.1910827052398197E-5</v>
      </c>
      <c r="N2127" s="1"/>
    </row>
    <row r="2128" spans="2:14" x14ac:dyDescent="0.35">
      <c r="B2128" s="5" t="str">
        <f t="shared" si="2115"/>
        <v>SPS1</v>
      </c>
      <c r="C2128" s="5" t="str">
        <f t="shared" si="2116"/>
        <v>CH</v>
      </c>
      <c r="D2128" t="s">
        <v>2257</v>
      </c>
      <c r="E2128" t="str">
        <f t="shared" si="2117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7.8442126539215298E-7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4.4699859529681401E-7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1.6284337777524901E-7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3.0302203231658898E-7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3.2963094155625002E-7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3.58389974844168E-7</v>
      </c>
      <c r="N2128" s="1"/>
    </row>
    <row r="2129" spans="2:14" x14ac:dyDescent="0.35">
      <c r="B2129" s="5" t="str">
        <f t="shared" si="2115"/>
        <v>SPS1</v>
      </c>
      <c r="C2129" s="5" t="str">
        <f t="shared" si="2116"/>
        <v>CH</v>
      </c>
      <c r="D2129" t="s">
        <v>2258</v>
      </c>
      <c r="E2129" t="str">
        <f t="shared" si="2117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3.7401685092293702E-7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3.2842977866207698E-7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1.71138081952067E-7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2.7968676657051502E-7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2.9652579482106399E-7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3.78928676631084E-7</v>
      </c>
      <c r="N2129" s="1"/>
    </row>
    <row r="2130" spans="2:14" x14ac:dyDescent="0.35">
      <c r="B2130" s="5" t="str">
        <f t="shared" si="2115"/>
        <v>SPS1</v>
      </c>
      <c r="C2130" s="5" t="str">
        <f t="shared" si="2116"/>
        <v>CH</v>
      </c>
      <c r="D2130" t="s">
        <v>2259</v>
      </c>
      <c r="E2130" t="str">
        <f t="shared" si="2117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3.4213048855635202E-7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2.5914254864433299E-7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1.5931161361487799E-7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2.2970682780991299E-7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2.6504955899122399E-7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4.0722567127203802E-7</v>
      </c>
      <c r="N2130" s="1"/>
    </row>
    <row r="2131" spans="2:14" x14ac:dyDescent="0.35">
      <c r="B2131" s="5" t="str">
        <f t="shared" si="2115"/>
        <v>SPS1</v>
      </c>
      <c r="C2131" s="5" t="str">
        <f t="shared" si="2116"/>
        <v>CH</v>
      </c>
      <c r="D2131" t="s">
        <v>2260</v>
      </c>
      <c r="E2131" t="str">
        <f t="shared" si="2117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3.9544992673156601E-7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3.1487724906241801E-7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1.6102370325341101E-7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2.8127645027437502E-7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3.2337757943182998E-7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5.3456816713566797E-7</v>
      </c>
      <c r="N2131" s="1"/>
    </row>
    <row r="2132" spans="2:14" x14ac:dyDescent="0.35">
      <c r="B2132" s="5" t="str">
        <f t="shared" si="2115"/>
        <v>SPS1</v>
      </c>
      <c r="C2132" s="5" t="str">
        <f t="shared" si="2116"/>
        <v>CH</v>
      </c>
      <c r="D2132" t="s">
        <v>2261</v>
      </c>
      <c r="E2132" t="str">
        <f t="shared" si="2117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5"/>
        <v>SPS1</v>
      </c>
      <c r="C2133" s="5" t="str">
        <f t="shared" si="2116"/>
        <v>CH</v>
      </c>
      <c r="D2133" t="s">
        <v>2262</v>
      </c>
      <c r="E2133" t="str">
        <f t="shared" si="2117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5.5239217151309037E-5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6.2332708865337806E-5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2.9497261296360915E-2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0.16816938171351933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0.11889510994631375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0.18572447788976562</v>
      </c>
      <c r="N2133" s="1"/>
    </row>
    <row r="2134" spans="2:14" x14ac:dyDescent="0.35">
      <c r="B2134" s="5" t="str">
        <f t="shared" si="2115"/>
        <v>SPS1</v>
      </c>
      <c r="C2134" s="5" t="str">
        <f t="shared" si="2116"/>
        <v>CH</v>
      </c>
      <c r="D2134" t="s">
        <v>2263</v>
      </c>
      <c r="E2134" t="str">
        <f t="shared" si="2117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2.70620925410707E-4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7.9771266607592387E-2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3.5060070603349806E-5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1.0255147520898476E-3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1.1397623862268675E-4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6.1430416388648975E-4</v>
      </c>
      <c r="N2134" s="1"/>
    </row>
    <row r="2135" spans="2:14" x14ac:dyDescent="0.35">
      <c r="B2135" s="5" t="str">
        <f t="shared" si="2115"/>
        <v>SPS1</v>
      </c>
      <c r="C2135" s="5" t="str">
        <f t="shared" si="2116"/>
        <v>CH</v>
      </c>
      <c r="D2135" t="s">
        <v>2264</v>
      </c>
      <c r="E2135" t="str">
        <f t="shared" si="2117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0.18918012646708368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2.4988673671372801E-5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1.648579674168238E-5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1.5341844750620099E-5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1.107970499911377E-5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6.7019448351982297E-6</v>
      </c>
      <c r="N2135" s="1"/>
    </row>
    <row r="2136" spans="2:14" x14ac:dyDescent="0.35">
      <c r="B2136" s="5" t="str">
        <f t="shared" si="2115"/>
        <v>SPS1</v>
      </c>
      <c r="C2136" s="5" t="str">
        <f t="shared" si="2116"/>
        <v>CH</v>
      </c>
      <c r="D2136" t="s">
        <v>2265</v>
      </c>
      <c r="E2136" t="str">
        <f t="shared" si="2117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3.156861103543821E-5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3.0973703492193301E-5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2.8682183687875011E-5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4.6376116294580454E-3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1.5154148688964236E-2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2.8383311976624272E-2</v>
      </c>
      <c r="N2136" s="1"/>
    </row>
    <row r="2137" spans="2:14" x14ac:dyDescent="0.35">
      <c r="B2137" s="5" t="str">
        <f t="shared" si="2115"/>
        <v>SPS1</v>
      </c>
      <c r="C2137" s="5" t="str">
        <f t="shared" si="2116"/>
        <v>CH</v>
      </c>
      <c r="D2137" t="s">
        <v>2266</v>
      </c>
      <c r="E2137" t="str">
        <f t="shared" si="2117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5"/>
        <v>SPS1</v>
      </c>
      <c r="C2138" s="5" t="str">
        <f t="shared" si="2116"/>
        <v>CH</v>
      </c>
      <c r="D2138" t="s">
        <v>2267</v>
      </c>
      <c r="E2138" t="str">
        <f t="shared" si="2117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1.18088135911726E-5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9.1860149300836705E-2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9.7482542703953706E-2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1.3893323156093299E-5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6.38409367946057E-6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2.2559447641689098E-6</v>
      </c>
      <c r="N2138" s="1"/>
    </row>
    <row r="2139" spans="2:14" x14ac:dyDescent="0.35">
      <c r="B2139" s="5" t="str">
        <f t="shared" si="2115"/>
        <v>SPS1</v>
      </c>
      <c r="C2139" s="5" t="str">
        <f t="shared" si="2116"/>
        <v>CH</v>
      </c>
      <c r="D2139" t="s">
        <v>2268</v>
      </c>
      <c r="E2139" t="str">
        <f t="shared" si="2117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7.2563281736540203E-6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7.2211253620355798E-2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2.4827207599458201E-5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1.6441749267787999E-5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6.8983828666420698E-6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2.4663626010471598E-6</v>
      </c>
      <c r="N2139" s="1"/>
    </row>
    <row r="2140" spans="2:14" x14ac:dyDescent="0.35">
      <c r="B2140" s="5" t="str">
        <f t="shared" si="2115"/>
        <v>SPS1</v>
      </c>
      <c r="C2140" s="5" t="str">
        <f t="shared" si="2116"/>
        <v>CH</v>
      </c>
      <c r="D2140" t="s">
        <v>2269</v>
      </c>
      <c r="E2140" t="str">
        <f t="shared" si="2117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8.9168771200575399E-6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3.9119243949954002E-2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1.8368534114476101E-5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1.3527157118439599E-5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7.8212697091300298E-6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3.4185518601605098E-6</v>
      </c>
      <c r="N2140" s="1"/>
    </row>
    <row r="2141" spans="2:14" x14ac:dyDescent="0.35">
      <c r="B2141" s="5" t="str">
        <f t="shared" si="2115"/>
        <v>SPS1</v>
      </c>
      <c r="C2141" s="5" t="str">
        <f t="shared" si="2116"/>
        <v>CH</v>
      </c>
      <c r="D2141" t="s">
        <v>2270</v>
      </c>
      <c r="E2141" t="str">
        <f t="shared" si="2117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7.2955473142829397E-6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0.11574501818427101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4.8217304164457397E-5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0.57424793687695497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0.33886865810351302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0.66116996777924997</v>
      </c>
      <c r="N2141" s="1"/>
    </row>
    <row r="2142" spans="2:14" x14ac:dyDescent="0.35">
      <c r="B2142" s="5" t="str">
        <f t="shared" si="2115"/>
        <v>SPS1</v>
      </c>
      <c r="C2142" s="5" t="str">
        <f t="shared" si="2116"/>
        <v>CH</v>
      </c>
      <c r="D2142" t="s">
        <v>2271</v>
      </c>
      <c r="E2142" t="str">
        <f t="shared" si="2117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7.9104975508802304E-6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3.1148389454268497E-5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2.94527468133522E-2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1.9536691321327099E-5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8.05916469974773E-6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2.4259108816108102E-6</v>
      </c>
      <c r="N2142" s="1"/>
    </row>
    <row r="2143" spans="2:14" x14ac:dyDescent="0.35">
      <c r="B2143" s="5" t="str">
        <f t="shared" si="2115"/>
        <v>SPS1</v>
      </c>
      <c r="C2143" s="5" t="str">
        <f t="shared" si="2116"/>
        <v>CH</v>
      </c>
      <c r="D2143" t="s">
        <v>2272</v>
      </c>
      <c r="E2143" t="str">
        <f t="shared" si="2117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3.240228883073E-6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1.32896454627796E-5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1.5735045806076401E-5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1.3763338100497599E-5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6.4457405073857596E-6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2.3470842295817098E-6</v>
      </c>
      <c r="N2143" s="1"/>
    </row>
    <row r="2144" spans="2:14" x14ac:dyDescent="0.35">
      <c r="B2144" s="5" t="str">
        <f t="shared" si="2115"/>
        <v>SPS1</v>
      </c>
      <c r="C2144" s="5" t="str">
        <f t="shared" si="2116"/>
        <v>CH</v>
      </c>
      <c r="D2144" t="s">
        <v>2273</v>
      </c>
      <c r="E2144" t="str">
        <f t="shared" si="2117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3.4577514256701899E-6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1.08445356599494E-5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1.09711399476927E-5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9.5365339631974897E-6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6.2863283770363997E-6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2.9977088984414202E-6</v>
      </c>
      <c r="N2144" s="1"/>
    </row>
    <row r="2145" spans="2:14" x14ac:dyDescent="0.35">
      <c r="B2145" s="5" t="str">
        <f t="shared" si="2115"/>
        <v>SPS1</v>
      </c>
      <c r="C2145" s="5" t="str">
        <f t="shared" si="2116"/>
        <v>CH</v>
      </c>
      <c r="D2145" t="s">
        <v>2274</v>
      </c>
      <c r="E2145" t="str">
        <f t="shared" si="2117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4.8211237680270103E-6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1.89419856174639E-5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2.2274546189706799E-5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4.62940659623231E-3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1.51450784764367E-2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2.8358556550807001E-2</v>
      </c>
      <c r="N2145" s="1"/>
    </row>
    <row r="2146" spans="2:14" x14ac:dyDescent="0.35">
      <c r="B2146" s="5" t="str">
        <f t="shared" si="2115"/>
        <v>SPS1</v>
      </c>
      <c r="C2146" s="5" t="str">
        <f t="shared" si="2116"/>
        <v>CH</v>
      </c>
      <c r="D2146" t="s">
        <v>2275</v>
      </c>
      <c r="E2146" t="str">
        <f t="shared" si="2117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8">B2146</f>
        <v>SPS1</v>
      </c>
      <c r="C2147" s="5" t="str">
        <f t="shared" ref="C2147:C2164" si="2119">C2146</f>
        <v>CH</v>
      </c>
      <c r="D2147" t="s">
        <v>2276</v>
      </c>
      <c r="E2147" t="str">
        <f t="shared" ref="E2147:E2164" si="2120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3.3705408102022522E-2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6.4796896953625395E-5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2.0580851219854146E-2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6.1012846305357697E-3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3.3474006421289206E-2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2.6346045259146368E-4</v>
      </c>
      <c r="N2147" s="1"/>
    </row>
    <row r="2148" spans="2:14" x14ac:dyDescent="0.35">
      <c r="B2148" s="5" t="str">
        <f t="shared" si="2118"/>
        <v>SPS1</v>
      </c>
      <c r="C2148" s="5" t="str">
        <f t="shared" si="2119"/>
        <v>CH</v>
      </c>
      <c r="D2148" t="s">
        <v>2277</v>
      </c>
      <c r="E2148" t="str">
        <f t="shared" si="2120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0.13889508982450324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8.4085506962071496E-2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2.55324876185336E-5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0.11541763125763219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2.206676226344878E-4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0.11299038062922472</v>
      </c>
      <c r="N2148" s="1"/>
    </row>
    <row r="2149" spans="2:14" x14ac:dyDescent="0.35">
      <c r="B2149" s="5" t="str">
        <f t="shared" si="2118"/>
        <v>SPS1</v>
      </c>
      <c r="C2149" s="5" t="str">
        <f t="shared" si="2119"/>
        <v>CH</v>
      </c>
      <c r="D2149" t="s">
        <v>2278</v>
      </c>
      <c r="E2149" t="str">
        <f t="shared" si="2120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2.6025471669504028E-5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1.9513367329455171E-5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1.435741528331533E-5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3.4193713464761821E-5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6.4392311842896227E-3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1.2096214217240459E-2</v>
      </c>
      <c r="N2149" s="1"/>
    </row>
    <row r="2150" spans="2:14" x14ac:dyDescent="0.35">
      <c r="B2150" s="5" t="str">
        <f t="shared" si="2118"/>
        <v>SPS1</v>
      </c>
      <c r="C2150" s="5" t="str">
        <f t="shared" si="2119"/>
        <v>CH</v>
      </c>
      <c r="D2150" t="s">
        <v>2279</v>
      </c>
      <c r="E2150" t="str">
        <f t="shared" si="2120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3.1583144084796129E-5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1.7560142580760351E-5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1.059991191621768E-5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1.4113782176692949E-5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1.602638253305631E-5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3.246233631198045E-5</v>
      </c>
      <c r="N2150" s="1"/>
    </row>
    <row r="2151" spans="2:14" x14ac:dyDescent="0.35">
      <c r="B2151" s="5" t="str">
        <f t="shared" si="2118"/>
        <v>SPS1</v>
      </c>
      <c r="C2151" s="5" t="str">
        <f t="shared" si="2119"/>
        <v>CH</v>
      </c>
      <c r="D2151" t="s">
        <v>2280</v>
      </c>
      <c r="E2151" t="str">
        <f t="shared" si="2120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8"/>
        <v>SPS1</v>
      </c>
      <c r="C2152" s="5" t="str">
        <f t="shared" si="2119"/>
        <v>CH</v>
      </c>
      <c r="D2152" t="s">
        <v>2281</v>
      </c>
      <c r="E2152" t="str">
        <f t="shared" si="2120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1.19785006521852E-5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2.0390690395384599E-5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1.4201991355319601E-5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6.9005193364650102E-6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3.8777179078694997E-6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1.6447668529902799E-6</v>
      </c>
      <c r="N2152" s="1"/>
    </row>
    <row r="2153" spans="2:14" x14ac:dyDescent="0.35">
      <c r="B2153" s="5" t="str">
        <f t="shared" si="2118"/>
        <v>SPS1</v>
      </c>
      <c r="C2153" s="5" t="str">
        <f t="shared" si="2119"/>
        <v>CH</v>
      </c>
      <c r="D2153" t="s">
        <v>2282</v>
      </c>
      <c r="E2153" t="str">
        <f t="shared" si="2120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5.3164386669359103E-6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1.1804338680265899E-5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6.7294947494539504E-6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5.6596426967554296E-6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3.2434485703492401E-6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1.4366289549309601E-6</v>
      </c>
      <c r="N2153" s="1"/>
    </row>
    <row r="2154" spans="2:14" x14ac:dyDescent="0.35">
      <c r="B2154" s="5" t="str">
        <f t="shared" si="2118"/>
        <v>SPS1</v>
      </c>
      <c r="C2154" s="5" t="str">
        <f t="shared" si="2119"/>
        <v>CH</v>
      </c>
      <c r="D2154" t="s">
        <v>2283</v>
      </c>
      <c r="E2154" t="str">
        <f t="shared" si="2120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4.6413698385860301E-6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8.1474152493747094E-6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5.1063222489183497E-6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4.6895828669482401E-6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3.1274223647598302E-6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1.6348727601365299E-6</v>
      </c>
      <c r="N2154" s="1"/>
    </row>
    <row r="2155" spans="2:14" x14ac:dyDescent="0.35">
      <c r="B2155" s="5" t="str">
        <f t="shared" si="2118"/>
        <v>SPS1</v>
      </c>
      <c r="C2155" s="5" t="str">
        <f t="shared" si="2119"/>
        <v>CH</v>
      </c>
      <c r="D2155" t="s">
        <v>2284</v>
      </c>
      <c r="E2155" t="str">
        <f t="shared" si="2120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2.1751896218186098E-6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4.2773610258486104E-6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3.6782044166946701E-6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3.0864340241738302E-6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2.3001040062525299E-6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1.39529450530611E-6</v>
      </c>
      <c r="N2155" s="1"/>
    </row>
    <row r="2156" spans="2:14" x14ac:dyDescent="0.35">
      <c r="B2156" s="5" t="str">
        <f t="shared" si="2118"/>
        <v>SPS1</v>
      </c>
      <c r="C2156" s="5" t="str">
        <f t="shared" si="2119"/>
        <v>CH</v>
      </c>
      <c r="D2156" t="s">
        <v>2285</v>
      </c>
      <c r="E2156" t="str">
        <f t="shared" si="2120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7.48044185781629E-6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2.5291812933474899E-5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2.0559301185689601E-2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4.2919663171361502E-3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4.2440618970303201E-5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5.4711953439766501E-6</v>
      </c>
      <c r="N2156" s="1"/>
    </row>
    <row r="2157" spans="2:14" x14ac:dyDescent="0.35">
      <c r="B2157" s="5" t="str">
        <f t="shared" si="2118"/>
        <v>SPS1</v>
      </c>
      <c r="C2157" s="5" t="str">
        <f t="shared" si="2119"/>
        <v>CH</v>
      </c>
      <c r="D2157" t="s">
        <v>2286</v>
      </c>
      <c r="E2157" t="str">
        <f t="shared" si="2120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3.07229814725381E-6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1.11372402070986E-5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1.4545655841561999E-5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2.9631502371194E-5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2.0337154980489801E-5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6.4106522177117297E-6</v>
      </c>
      <c r="N2157" s="1"/>
    </row>
    <row r="2158" spans="2:14" x14ac:dyDescent="0.35">
      <c r="B2158" s="5" t="str">
        <f t="shared" si="2118"/>
        <v>SPS1</v>
      </c>
      <c r="C2158" s="5" t="str">
        <f t="shared" si="2119"/>
        <v>CH</v>
      </c>
      <c r="D2158" t="s">
        <v>2287</v>
      </c>
      <c r="E2158" t="str">
        <f t="shared" si="2120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3.17716844654523E-6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8.9108605288782703E-6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1.00249045469458E-5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2.8342225491411598E-5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6.4342062500075499E-3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1.20924177660754E-2</v>
      </c>
      <c r="N2158" s="1"/>
    </row>
    <row r="2159" spans="2:14" x14ac:dyDescent="0.35">
      <c r="B2159" s="5" t="str">
        <f t="shared" si="2118"/>
        <v>SPS1</v>
      </c>
      <c r="C2159" s="5" t="str">
        <f t="shared" si="2119"/>
        <v>CH</v>
      </c>
      <c r="D2159" t="s">
        <v>2288</v>
      </c>
      <c r="E2159" t="str">
        <f t="shared" si="2120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2.62291176845113E-6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5.4809962607052499E-6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5.4931174677708998E-6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5.8309554923918896E-6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6.3518239453778799E-6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5.5784458213585498E-6</v>
      </c>
      <c r="N2159" s="1"/>
    </row>
    <row r="2160" spans="2:14" x14ac:dyDescent="0.35">
      <c r="B2160" s="5" t="str">
        <f t="shared" si="2118"/>
        <v>SPS1</v>
      </c>
      <c r="C2160" s="5" t="str">
        <f t="shared" si="2119"/>
        <v>CH</v>
      </c>
      <c r="D2160" t="s">
        <v>2289</v>
      </c>
      <c r="E2160" t="str">
        <f t="shared" si="2120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8"/>
        <v>SPS1</v>
      </c>
      <c r="C2161" s="5" t="str">
        <f t="shared" si="2119"/>
        <v>CH</v>
      </c>
      <c r="D2161" t="s">
        <v>2290</v>
      </c>
      <c r="E2161" t="str">
        <f t="shared" si="2120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1.2734560283740901E-6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1.18934032675005E-6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6.5855506632013302E-7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1.4931789391954699E-6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7.9617109734238498E-7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6.2066108912855105E-7</v>
      </c>
      <c r="N2161" s="1"/>
    </row>
    <row r="2162" spans="2:14" x14ac:dyDescent="0.35">
      <c r="B2162" s="5" t="str">
        <f t="shared" si="2118"/>
        <v>SPS1</v>
      </c>
      <c r="C2162" s="5" t="str">
        <f t="shared" si="2119"/>
        <v>CH</v>
      </c>
      <c r="D2162" t="s">
        <v>2291</v>
      </c>
      <c r="E2162" t="str">
        <f t="shared" si="2120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6.9118365631963196E-7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9.3924781441483095E-7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7.61107017002117E-7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2.0318364753922699E-6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9.7355932355810304E-7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7.2397055745252703E-7</v>
      </c>
      <c r="N2162" s="1"/>
    </row>
    <row r="2163" spans="2:14" x14ac:dyDescent="0.35">
      <c r="B2163" s="5" t="str">
        <f t="shared" si="2118"/>
        <v>SPS1</v>
      </c>
      <c r="C2163" s="5" t="str">
        <f t="shared" si="2119"/>
        <v>CH</v>
      </c>
      <c r="D2163" t="s">
        <v>2292</v>
      </c>
      <c r="E2163" t="str">
        <f t="shared" si="2120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8.9012523373042595E-7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1.1056950000342101E-6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1.27200773017632E-6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3.7575243707766802E-6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1.6556426426797501E-6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1.43712643401961E-6</v>
      </c>
      <c r="N2163" s="1"/>
    </row>
    <row r="2164" spans="2:14" x14ac:dyDescent="0.35">
      <c r="B2164" s="5" t="str">
        <f t="shared" si="2118"/>
        <v>SPS1</v>
      </c>
      <c r="C2164" s="5" t="str">
        <f t="shared" si="2119"/>
        <v>CH</v>
      </c>
      <c r="D2164" t="s">
        <v>2293</v>
      </c>
      <c r="E2164" t="str">
        <f t="shared" si="2120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9.1007410014857905E-7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1.2137422835616399E-6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1.46314529065648E-6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4.7388846760618101E-6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2.2673831369838998E-6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4.2360120775580899E-6</v>
      </c>
      <c r="N2164" s="1"/>
    </row>
    <row r="2165" spans="2:14" x14ac:dyDescent="0.35">
      <c r="B2165" s="5" t="str">
        <f>SPS4_NUC_High!B1953</f>
        <v>SPS1</v>
      </c>
      <c r="C2165" s="5" t="str">
        <f>SPS4_NUC_High!C1953</f>
        <v>CH</v>
      </c>
      <c r="D2165" s="2" t="s">
        <v>2294</v>
      </c>
      <c r="E2165" s="2" t="s">
        <v>1999</v>
      </c>
      <c r="F2165" s="3">
        <f t="shared" ref="F2165:K2165" si="2121">SUM(F2166:F2188)</f>
        <v>0</v>
      </c>
      <c r="G2165" s="3">
        <f t="shared" si="2121"/>
        <v>0.70709830172287758</v>
      </c>
      <c r="H2165" s="3">
        <f t="shared" si="2121"/>
        <v>1.556024301161913</v>
      </c>
      <c r="I2165" s="3">
        <f t="shared" si="2121"/>
        <v>5.6849295009526015</v>
      </c>
      <c r="J2165" s="3">
        <f t="shared" si="2121"/>
        <v>4.9496101890244706</v>
      </c>
      <c r="K2165" s="3">
        <f t="shared" si="2121"/>
        <v>2.2257862984703216</v>
      </c>
      <c r="L2165" s="3">
        <f t="shared" ref="L2165" si="2122">SUM(L2166:L2188)</f>
        <v>6.4584081474541861</v>
      </c>
      <c r="N2165" s="1"/>
    </row>
    <row r="2166" spans="2:14" x14ac:dyDescent="0.35">
      <c r="B2166" s="5" t="str">
        <f t="shared" ref="B2166:B2197" si="2123">B2165</f>
        <v>SPS1</v>
      </c>
      <c r="C2166" s="5" t="str">
        <f t="shared" ref="C2166:C2197" si="2124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23"/>
        <v>SPS1</v>
      </c>
      <c r="C2167" s="5" t="str">
        <f t="shared" si="2124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7.0601110792603301E-3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8.4639071851481205E-3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2.5516864338657399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2.6399552161088899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0.165780826639777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0.64385397577287795</v>
      </c>
      <c r="N2167" s="1"/>
    </row>
    <row r="2168" spans="2:14" x14ac:dyDescent="0.35">
      <c r="B2168" s="5" t="str">
        <f t="shared" si="2123"/>
        <v>SPS1</v>
      </c>
      <c r="C2168" s="5" t="str">
        <f t="shared" si="2124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1.01521883580745E-3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4.1716248215360003E-3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0.7418129316787031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0.71084476437740307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0.101828664463086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0.69392830897175095</v>
      </c>
      <c r="N2168" s="1"/>
    </row>
    <row r="2169" spans="2:14" x14ac:dyDescent="0.35">
      <c r="B2169" s="5" t="str">
        <f t="shared" si="2123"/>
        <v>SPS1</v>
      </c>
      <c r="C2169" s="5" t="str">
        <f t="shared" si="2124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3.9033398030284902E-4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7.6143143217463302E-4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1.6940844281729301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0.26850107099690201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0.98340589768459108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2.4739173538552501</v>
      </c>
      <c r="N2169" s="1"/>
    </row>
    <row r="2170" spans="2:14" x14ac:dyDescent="0.35">
      <c r="B2170" s="5" t="str">
        <f t="shared" si="2123"/>
        <v>SPS1</v>
      </c>
      <c r="C2170" s="5" t="str">
        <f t="shared" si="2124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7.1588184906343905E-5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7.4427526839172898E-5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7.7347739645518407E-5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6.3791670690834196E-5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6.4157885638197709E-5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2.7330150378536E-5</v>
      </c>
      <c r="N2170" s="1"/>
    </row>
    <row r="2171" spans="2:14" x14ac:dyDescent="0.35">
      <c r="B2171" s="5" t="str">
        <f t="shared" si="2123"/>
        <v>SPS1</v>
      </c>
      <c r="C2171" s="5" t="str">
        <f t="shared" si="2124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1.08702788326137E-5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23"/>
        <v>SPS1</v>
      </c>
      <c r="C2172" s="5" t="str">
        <f t="shared" si="2124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23"/>
        <v>SPS1</v>
      </c>
      <c r="C2173" s="5" t="str">
        <f t="shared" si="2124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1.04212997327227E-5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23"/>
        <v>SPS1</v>
      </c>
      <c r="C2174" s="5" t="str">
        <f t="shared" si="2124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23"/>
        <v>SPS1</v>
      </c>
      <c r="C2175" s="5" t="str">
        <f t="shared" si="2124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0.64370296065702992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6.5009464492263498E-4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2.2004591459693501E-4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5.8973605243874995E-4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3.9649885782164099E-4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1.98749944032044</v>
      </c>
      <c r="N2175" s="1"/>
    </row>
    <row r="2176" spans="2:14" x14ac:dyDescent="0.35">
      <c r="B2176" s="5" t="str">
        <f t="shared" si="2123"/>
        <v>SPS1</v>
      </c>
      <c r="C2176" s="5" t="str">
        <f t="shared" si="2124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7.70802518485074E-4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2.7261469926545702E-4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1.8815340761682298E-4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3.3530823512600003E-4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2.4139482587777003E-4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3.8132299278770699E-4</v>
      </c>
      <c r="N2176" s="1"/>
    </row>
    <row r="2177" spans="2:14" x14ac:dyDescent="0.35">
      <c r="B2177" s="5" t="str">
        <f t="shared" si="2123"/>
        <v>SPS1</v>
      </c>
      <c r="C2177" s="5" t="str">
        <f t="shared" si="2124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4.2188772436559198E-2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0.83466448589539999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0.69682832034077502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1.3293203015830199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0.97406885811353006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0.658800415390701</v>
      </c>
      <c r="N2177" s="1"/>
    </row>
    <row r="2178" spans="2:14" x14ac:dyDescent="0.35">
      <c r="B2178" s="5" t="str">
        <f t="shared" si="2123"/>
        <v>SPS1</v>
      </c>
      <c r="C2178" s="5" t="str">
        <f t="shared" si="2124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23"/>
        <v>SPS1</v>
      </c>
      <c r="C2179" s="5" t="str">
        <f t="shared" si="2124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23"/>
        <v>SPS1</v>
      </c>
      <c r="C2180" s="5" t="str">
        <f t="shared" si="2124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4.38619586736621E-3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0.51988829765900291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23"/>
        <v>SPS1</v>
      </c>
      <c r="C2181" s="5" t="str">
        <f t="shared" si="2124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6.80837577375754E-3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0.15389877117238898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23"/>
        <v>SPS1</v>
      </c>
      <c r="C2182" s="5" t="str">
        <f t="shared" si="2124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4.2239352776314999E-4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1.1535202437036501E-4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23"/>
        <v>SPS1</v>
      </c>
      <c r="C2183" s="5" t="str">
        <f t="shared" si="2124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23"/>
        <v>SPS1</v>
      </c>
      <c r="C2184" s="5" t="str">
        <f t="shared" si="2124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23"/>
        <v>SPS1</v>
      </c>
      <c r="C2185" s="5" t="str">
        <f t="shared" si="2124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1.7232560978732499E-4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7.0113339067213792E-4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1.0548254028404501E-5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0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23"/>
        <v>SPS1</v>
      </c>
      <c r="C2186" s="5" t="str">
        <f t="shared" si="2124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7.7311389224089989E-5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3.2237443144942098E-2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23"/>
        <v>SPS1</v>
      </c>
      <c r="C2187" s="5" t="str">
        <f t="shared" si="2124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3.1911862628051997E-5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1.2471756525059898E-4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23"/>
        <v>SPS1</v>
      </c>
      <c r="C2188" s="5" t="str">
        <f t="shared" si="2124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23"/>
        <v>SPS1</v>
      </c>
      <c r="C2189" s="5" t="str">
        <f t="shared" si="2124"/>
        <v>CH</v>
      </c>
      <c r="D2189" s="2" t="s">
        <v>2318</v>
      </c>
      <c r="E2189" s="2" t="s">
        <v>1999</v>
      </c>
      <c r="F2189" s="3">
        <f t="shared" ref="F2189:K2189" si="2125">SUM(F2190:F2212)</f>
        <v>0</v>
      </c>
      <c r="G2189" s="3">
        <f t="shared" si="2125"/>
        <v>0.50045185515549051</v>
      </c>
      <c r="H2189" s="3">
        <f t="shared" si="2125"/>
        <v>0.38094743523654157</v>
      </c>
      <c r="I2189" s="3">
        <f t="shared" si="2125"/>
        <v>2.7358694059389954</v>
      </c>
      <c r="J2189" s="3">
        <f t="shared" si="2125"/>
        <v>1.145864503186607</v>
      </c>
      <c r="K2189" s="3">
        <f t="shared" si="2125"/>
        <v>1.6678375333694067</v>
      </c>
      <c r="L2189" s="3">
        <f t="shared" ref="L2189" si="2126">SUM(L2190:L2212)</f>
        <v>1.9996286142150976</v>
      </c>
      <c r="N2189" s="1"/>
    </row>
    <row r="2190" spans="2:14" x14ac:dyDescent="0.35">
      <c r="B2190" s="5" t="str">
        <f t="shared" si="2123"/>
        <v>SPS1</v>
      </c>
      <c r="C2190" s="5" t="str">
        <f t="shared" si="2124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23"/>
        <v>SPS1</v>
      </c>
      <c r="C2191" s="5" t="str">
        <f t="shared" si="2124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7.6691414535622299E-4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1.29739498512983E-3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1.4079870357437199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0.87223288977296198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3.4689800906188501E-3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0.36823752036979701</v>
      </c>
      <c r="N2191" s="1"/>
    </row>
    <row r="2192" spans="2:14" x14ac:dyDescent="0.35">
      <c r="B2192" s="5" t="str">
        <f t="shared" si="2123"/>
        <v>SPS1</v>
      </c>
      <c r="C2192" s="5" t="str">
        <f t="shared" si="2124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3.2956183174019898E-4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7.1949325845352592E-4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0.476676310574147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9.6839278220129693E-2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0.87135065504200204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0.67920704267901499</v>
      </c>
      <c r="N2192" s="1"/>
    </row>
    <row r="2193" spans="2:14" x14ac:dyDescent="0.35">
      <c r="B2193" s="5" t="str">
        <f t="shared" si="2123"/>
        <v>SPS1</v>
      </c>
      <c r="C2193" s="5" t="str">
        <f t="shared" si="2124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1.5337969004870501E-4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2.0142334958486401E-4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7.2016091411666102E-4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1.59207731358299E-3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1.83373827588007E-3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0.19156111279834601</v>
      </c>
      <c r="N2193" s="1"/>
    </row>
    <row r="2194" spans="2:14" x14ac:dyDescent="0.35">
      <c r="B2194" s="5" t="str">
        <f t="shared" si="2123"/>
        <v>SPS1</v>
      </c>
      <c r="C2194" s="5" t="str">
        <f t="shared" si="2124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7.1498864964499099E-5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6.1083990849838306E-5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7.4764206259047308E-5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6.2991025234725002E-5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6.7205166265787208E-5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2.8270010784133801E-5</v>
      </c>
      <c r="N2194" s="1"/>
    </row>
    <row r="2195" spans="2:14" x14ac:dyDescent="0.35">
      <c r="B2195" s="5" t="str">
        <f t="shared" si="2123"/>
        <v>SPS1</v>
      </c>
      <c r="C2195" s="5" t="str">
        <f t="shared" si="2124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23"/>
        <v>SPS1</v>
      </c>
      <c r="C2196" s="5" t="str">
        <f t="shared" si="2124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23"/>
        <v>SPS1</v>
      </c>
      <c r="C2197" s="5" t="str">
        <f t="shared" si="2124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7">B2197</f>
        <v>SPS1</v>
      </c>
      <c r="C2198" s="5" t="str">
        <f t="shared" ref="C2198:C2232" si="2128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7"/>
        <v>SPS1</v>
      </c>
      <c r="C2199" s="5" t="str">
        <f t="shared" si="2128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9.440529907058761E-3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8.82229735660006E-4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9.6685548552165898E-4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0.107412147475012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0.42648552155534197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0.760107970677672</v>
      </c>
      <c r="N2199" s="1"/>
    </row>
    <row r="2200" spans="2:14" x14ac:dyDescent="0.35">
      <c r="B2200" s="5" t="str">
        <f t="shared" si="2127"/>
        <v>SPS1</v>
      </c>
      <c r="C2200" s="5" t="str">
        <f t="shared" si="2128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4.3359440283696602E-4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0.16694073289890199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0.59195694348348205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2.1346313880765103E-3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0.16619974453790198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3.0688530975917698E-4</v>
      </c>
      <c r="N2200" s="1"/>
    </row>
    <row r="2201" spans="2:14" x14ac:dyDescent="0.35">
      <c r="B2201" s="5" t="str">
        <f t="shared" si="2127"/>
        <v>SPS1</v>
      </c>
      <c r="C2201" s="5" t="str">
        <f t="shared" si="2128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1.90410175141714E-4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6.6116883014377299E-3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0.25747360000547698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6.5590487991608895E-2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0.19843168870139602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1.7981236972411399E-4</v>
      </c>
      <c r="N2201" s="1"/>
    </row>
    <row r="2202" spans="2:14" x14ac:dyDescent="0.35">
      <c r="B2202" s="5" t="str">
        <f t="shared" si="2127"/>
        <v>SPS1</v>
      </c>
      <c r="C2202" s="5" t="str">
        <f t="shared" si="2128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1.5637310109677398E-5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1.3787385633631099E-5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1.3735526272153001E-5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7"/>
        <v>SPS1</v>
      </c>
      <c r="C2203" s="5" t="str">
        <f t="shared" si="2128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7"/>
        <v>SPS1</v>
      </c>
      <c r="C2204" s="5" t="str">
        <f t="shared" si="2128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0.48837217163735402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0.20277800742680399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7"/>
        <v>SPS1</v>
      </c>
      <c r="C2205" s="5" t="str">
        <f t="shared" si="2128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2.6544042009511601E-4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3.8471528900528801E-4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7"/>
        <v>SPS1</v>
      </c>
      <c r="C2206" s="5" t="str">
        <f t="shared" si="2128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1.13588232456042E-4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1.2076127645651399E-4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7"/>
        <v>SPS1</v>
      </c>
      <c r="C2207" s="5" t="str">
        <f t="shared" si="2128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7"/>
        <v>SPS1</v>
      </c>
      <c r="C2208" s="5" t="str">
        <f t="shared" si="2128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7"/>
        <v>SPS1</v>
      </c>
      <c r="C2209" s="5" t="str">
        <f t="shared" si="2128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1.7999395863691002E-4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5.1354505489004804E-4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7"/>
        <v>SPS1</v>
      </c>
      <c r="C2210" s="5" t="str">
        <f t="shared" si="2128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7.5911905366828612E-5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2.8272144483027401E-4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7"/>
        <v>SPS1</v>
      </c>
      <c r="C2211" s="5" t="str">
        <f t="shared" si="2128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4.3222674324862402E-5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1.2967786162524899E-4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7"/>
        <v>SPS1</v>
      </c>
      <c r="C2212" s="5" t="str">
        <f t="shared" si="2128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1.01729772787622E-5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7"/>
        <v>SPS1</v>
      </c>
      <c r="C2213" s="5" t="str">
        <f t="shared" si="2128"/>
        <v>CH</v>
      </c>
      <c r="D2213" s="2" t="s">
        <v>2342</v>
      </c>
      <c r="E2213" s="2" t="s">
        <v>1999</v>
      </c>
      <c r="F2213" s="3">
        <f t="shared" ref="F2213:K2213" si="2129">SUM(F2214:F2222)</f>
        <v>0</v>
      </c>
      <c r="G2213" s="3">
        <f t="shared" si="2129"/>
        <v>15.04066338571038</v>
      </c>
      <c r="H2213" s="3">
        <f t="shared" si="2129"/>
        <v>62.963821223369379</v>
      </c>
      <c r="I2213" s="3">
        <f t="shared" si="2129"/>
        <v>169.87971099483312</v>
      </c>
      <c r="J2213" s="3">
        <f t="shared" si="2129"/>
        <v>240.27965873528711</v>
      </c>
      <c r="K2213" s="3">
        <f t="shared" si="2129"/>
        <v>195.95615790221345</v>
      </c>
      <c r="L2213" s="3">
        <f t="shared" ref="L2213" si="2130">SUM(L2214:L2222)</f>
        <v>364.51373693924387</v>
      </c>
      <c r="N2213" s="1"/>
    </row>
    <row r="2214" spans="2:14" x14ac:dyDescent="0.35">
      <c r="B2214" s="5" t="str">
        <f t="shared" si="2127"/>
        <v>SPS1</v>
      </c>
      <c r="C2214" s="5" t="str">
        <f t="shared" si="2128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7"/>
        <v>SPS1</v>
      </c>
      <c r="C2215" s="5" t="str">
        <f t="shared" si="2128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1.1555470895387201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10.952333206305001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45.965139197477299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112.24459858507799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195.93919468207298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221.005464997361</v>
      </c>
      <c r="N2215" s="1"/>
    </row>
    <row r="2216" spans="2:14" x14ac:dyDescent="0.35">
      <c r="B2216" s="5" t="str">
        <f t="shared" si="2127"/>
        <v>SPS1</v>
      </c>
      <c r="C2216" s="5" t="str">
        <f t="shared" si="2128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4.4341685067665403E-4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2.9752782103897304E-4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9.2160417662786895E-5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1.0711253088640801E-4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1.1539027486586099E-4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1.4769586860147101E-4</v>
      </c>
      <c r="N2216" s="1"/>
    </row>
    <row r="2217" spans="2:14" x14ac:dyDescent="0.35">
      <c r="B2217" s="5" t="str">
        <f t="shared" si="2127"/>
        <v>SPS1</v>
      </c>
      <c r="C2217" s="5" t="str">
        <f t="shared" si="2128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7"/>
        <v>SPS1</v>
      </c>
      <c r="C2218" s="5" t="str">
        <f t="shared" si="2128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3.6079798744418003E-2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12.380986188723298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27.486610540009799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35.5114105613589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6.8984629332748994E-3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34.173332712722704</v>
      </c>
      <c r="N2218" s="1"/>
    </row>
    <row r="2219" spans="2:14" x14ac:dyDescent="0.35">
      <c r="B2219" s="5" t="str">
        <f t="shared" si="2127"/>
        <v>SPS1</v>
      </c>
      <c r="C2219" s="5" t="str">
        <f t="shared" si="2128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7"/>
        <v>SPS1</v>
      </c>
      <c r="C2220" s="5" t="str">
        <f t="shared" si="2128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6.4801825791146296E-3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1.7620567205521999E-2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2.1002969688309499E-2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2.18091022868705E-2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3.6452622357235603E-3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4.3150707715782196E-3</v>
      </c>
      <c r="N2220" s="1"/>
    </row>
    <row r="2221" spans="2:14" x14ac:dyDescent="0.35">
      <c r="B2221" s="5" t="str">
        <f t="shared" si="2127"/>
        <v>SPS1</v>
      </c>
      <c r="C2221" s="5" t="str">
        <f t="shared" si="2128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13.8414648244266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39.611886500138901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96.406261831947006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92.499794685902899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5.8336240682651001E-3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109.328743905869</v>
      </c>
      <c r="N2221" s="1"/>
    </row>
    <row r="2222" spans="2:14" x14ac:dyDescent="0.35">
      <c r="B2222" s="5" t="str">
        <f t="shared" si="2127"/>
        <v>SPS1</v>
      </c>
      <c r="C2222" s="5" t="str">
        <f t="shared" si="2128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6.4807357085049707E-4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6.9723317561522398E-4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6.0429529304390102E-4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1.9386881295446899E-3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4.7048062836734796E-4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1.73255665100252E-3</v>
      </c>
      <c r="N2222" s="1"/>
    </row>
    <row r="2223" spans="2:14" x14ac:dyDescent="0.35">
      <c r="B2223" s="5" t="str">
        <f t="shared" si="2127"/>
        <v>SPS1</v>
      </c>
      <c r="C2223" s="5" t="str">
        <f t="shared" si="2128"/>
        <v>CH</v>
      </c>
      <c r="D2223" s="2" t="s">
        <v>2352</v>
      </c>
      <c r="E2223" s="2" t="s">
        <v>1999</v>
      </c>
      <c r="F2223" s="3">
        <f t="shared" ref="F2223:K2223" si="2131">SUM(F2224:F2232)</f>
        <v>0</v>
      </c>
      <c r="G2223" s="3">
        <f t="shared" si="2131"/>
        <v>6.4477812153244489</v>
      </c>
      <c r="H2223" s="3">
        <f t="shared" si="2131"/>
        <v>7.4068033042038675</v>
      </c>
      <c r="I2223" s="3">
        <f t="shared" si="2131"/>
        <v>26.976927478110948</v>
      </c>
      <c r="J2223" s="3">
        <f t="shared" si="2131"/>
        <v>40.26994360313607</v>
      </c>
      <c r="K2223" s="3">
        <f t="shared" si="2131"/>
        <v>21.676899421380504</v>
      </c>
      <c r="L2223" s="3">
        <f t="shared" ref="L2223" si="2132">SUM(L2224:L2232)</f>
        <v>49.339731827955589</v>
      </c>
      <c r="M2223" s="3"/>
      <c r="N2223" s="1"/>
    </row>
    <row r="2224" spans="2:14" x14ac:dyDescent="0.35">
      <c r="B2224" s="5" t="str">
        <f t="shared" si="2127"/>
        <v>SPS1</v>
      </c>
      <c r="C2224" s="5" t="str">
        <f t="shared" si="2128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7"/>
        <v>SPS1</v>
      </c>
      <c r="C2225" s="5" t="str">
        <f t="shared" si="2128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1.4009220276557301E-2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2.7543807978154399E-3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3.14329439893898E-3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7.2516491400184799E-4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1.0910970110323702E-3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1.73999235716908E-3</v>
      </c>
      <c r="N2225" s="1"/>
    </row>
    <row r="2226" spans="2:14" x14ac:dyDescent="0.35">
      <c r="B2226" s="5" t="str">
        <f t="shared" si="2127"/>
        <v>SPS1</v>
      </c>
      <c r="C2226" s="5" t="str">
        <f t="shared" si="2128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5.2861649910015E-5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7.6946574749555598E-5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1.7858519884530902E-4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1.8418368039227302E-4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7.7632816898606802E-5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1.7699230532031799E-4</v>
      </c>
      <c r="N2226" s="1"/>
    </row>
    <row r="2227" spans="2:14" x14ac:dyDescent="0.35">
      <c r="B2227" s="5" t="str">
        <f t="shared" si="2127"/>
        <v>SPS1</v>
      </c>
      <c r="C2227" s="5" t="str">
        <f t="shared" si="2128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7"/>
        <v>SPS1</v>
      </c>
      <c r="C2228" s="5" t="str">
        <f t="shared" si="2128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7"/>
        <v>SPS1</v>
      </c>
      <c r="C2229" s="5" t="str">
        <f t="shared" si="2128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7"/>
        <v>SPS1</v>
      </c>
      <c r="C2230" s="5" t="str">
        <f t="shared" si="2128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3.1011678537834898E-4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7.2667004273617593E-4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7.8449196271040294E-4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6.4096085797345399E-4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6.4642382290424803E-4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2.1778484023671999E-4</v>
      </c>
      <c r="N2230" s="1"/>
    </row>
    <row r="2231" spans="2:14" x14ac:dyDescent="0.35">
      <c r="B2231" s="5" t="str">
        <f t="shared" si="2127"/>
        <v>SPS1</v>
      </c>
      <c r="C2231" s="5" t="str">
        <f t="shared" si="2128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6.4332558358561203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7.4029350501018696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26.964790588607698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40.267177398598299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21.67440206777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49.336203243741998</v>
      </c>
      <c r="N2231" s="1"/>
    </row>
    <row r="2232" spans="2:14" x14ac:dyDescent="0.35">
      <c r="B2232" s="5" t="str">
        <f t="shared" si="2127"/>
        <v>SPS1</v>
      </c>
      <c r="C2232" s="5" t="str">
        <f t="shared" si="2128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1.53180756482405E-4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3.10256686696705E-4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8.0305179427540788E-3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1.21589508540462E-3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6.8219995966852301E-4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1.39381471086811E-3</v>
      </c>
      <c r="N2232" s="1"/>
    </row>
    <row r="2233" spans="2:14" x14ac:dyDescent="0.35">
      <c r="B2233" s="5" t="str">
        <f>SPS4_NUC_High!B1822</f>
        <v>SPS1</v>
      </c>
      <c r="C2233" s="5" t="str">
        <f>SPS4_NUC_High!C1822</f>
        <v>CH</v>
      </c>
      <c r="D2233" s="2" t="s">
        <v>2367</v>
      </c>
      <c r="E2233" s="2" t="s">
        <v>1858</v>
      </c>
      <c r="F2233" s="3">
        <f t="shared" ref="F2233:K2233" si="2133">SUM(F2234,F2253)</f>
        <v>9.9817089533288345E-6</v>
      </c>
      <c r="G2233" s="3">
        <f t="shared" si="2133"/>
        <v>0.71020539183791265</v>
      </c>
      <c r="H2233" s="3">
        <f t="shared" si="2133"/>
        <v>1.7024596249884258</v>
      </c>
      <c r="I2233" s="3">
        <f t="shared" si="2133"/>
        <v>1.1152956168734554</v>
      </c>
      <c r="J2233" s="3">
        <f t="shared" si="2133"/>
        <v>4.1836834545916872</v>
      </c>
      <c r="K2233" s="3">
        <f t="shared" si="2133"/>
        <v>4.3597980695209353</v>
      </c>
      <c r="L2233" s="3">
        <f t="shared" ref="L2233" si="2134">SUM(L2234,L2253)</f>
        <v>4.6885879866430979</v>
      </c>
      <c r="N2233" s="1"/>
    </row>
    <row r="2234" spans="2:14" x14ac:dyDescent="0.35">
      <c r="B2234" s="5" t="str">
        <f>SPS4_NUC_High!B1822</f>
        <v>SPS1</v>
      </c>
      <c r="C2234" s="5" t="str">
        <f>SPS4_NUC_High!C1822</f>
        <v>CH</v>
      </c>
      <c r="D2234" t="s">
        <v>2368</v>
      </c>
      <c r="E2234" t="str">
        <f>E2233</f>
        <v>GWth/yr.</v>
      </c>
      <c r="F2234" s="1">
        <f t="shared" ref="F2234:K2234" si="2135">SUM(F2235,F2238,F2240,F2243,F2245,F2247,F2249,F2251)</f>
        <v>6.6110493975089247E-6</v>
      </c>
      <c r="G2234" s="1">
        <f t="shared" si="2135"/>
        <v>0.55362315858098399</v>
      </c>
      <c r="H2234" s="1">
        <f t="shared" si="2135"/>
        <v>1.5390965363262998</v>
      </c>
      <c r="I2234" s="1">
        <f t="shared" si="2135"/>
        <v>0.87063909006063567</v>
      </c>
      <c r="J2234" s="1">
        <f t="shared" si="2135"/>
        <v>3.3676118448505039</v>
      </c>
      <c r="K2234" s="1">
        <f t="shared" si="2135"/>
        <v>3.5149656147262465</v>
      </c>
      <c r="L2234" s="1">
        <f t="shared" ref="L2234" si="2136">SUM(L2235,L2238,L2240,L2243,L2245,L2247,L2249,L2251)</f>
        <v>3.5165536851459605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7">SUM(F2236:F2237)</f>
        <v>5.3487070186250874E-7</v>
      </c>
      <c r="G2235" s="1">
        <f t="shared" si="2137"/>
        <v>0.27023171037858246</v>
      </c>
      <c r="H2235" s="1">
        <f t="shared" si="2137"/>
        <v>0.89048471171848487</v>
      </c>
      <c r="I2235" s="1">
        <f t="shared" si="2137"/>
        <v>0.49606677372122265</v>
      </c>
      <c r="J2235" s="1">
        <f t="shared" si="2137"/>
        <v>1.5769505100909806</v>
      </c>
      <c r="K2235" s="1">
        <f t="shared" si="2137"/>
        <v>1.6603335009398255</v>
      </c>
      <c r="L2235" s="1">
        <f t="shared" ref="L2235" si="2138">SUM(L2236:L2237)</f>
        <v>2.3763727994209476</v>
      </c>
      <c r="N2235" s="1"/>
    </row>
    <row r="2236" spans="2:14" x14ac:dyDescent="0.35">
      <c r="B2236" s="5" t="str">
        <f t="shared" ref="B2236:B2267" si="2139">B2235</f>
        <v>SPS1</v>
      </c>
      <c r="C2236" s="5" t="str">
        <f t="shared" ref="C2236:C2267" si="2140">C2235</f>
        <v>CH</v>
      </c>
      <c r="D2236" t="s">
        <v>2370</v>
      </c>
      <c r="E2236" t="str">
        <f t="shared" ref="E2236:E2267" si="2141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2.2038744962453998E-7</v>
      </c>
      <c r="G2236" s="1" cm="1">
        <f t="array" ref="G2236">SUMPRODUCT(([1]OUT_FinalEnergyCons!$B$4:$B$10000="var_ncap")*1,(ISNUMBER(SEARCH("RH*-SHELCBR",[1]OUT_FinalEnergyCons!$A$4:$A$10000)))*1,[1]OUT_FinalEnergyCons!E$4:E$10000)</f>
        <v>4.5956448960438809E-2</v>
      </c>
      <c r="H2236" s="1" cm="1">
        <f t="array" ref="H2236">SUMPRODUCT(([1]OUT_FinalEnergyCons!$B$4:$B$10000="var_ncap")*1,(ISNUMBER(SEARCH("RH*-SHELCBR",[1]OUT_FinalEnergyCons!$A$4:$A$10000)))*1,[1]OUT_FinalEnergyCons!F$4:F$10000)</f>
        <v>9.5664441601308994E-8</v>
      </c>
      <c r="I2236" s="1" cm="1">
        <f t="array" ref="I2236">SUMPRODUCT(([1]OUT_FinalEnergyCons!$B$4:$B$10000="var_ncap")*1,(ISNUMBER(SEARCH("RH*-SHELCBR",[1]OUT_FinalEnergyCons!$A$4:$A$10000)))*1,[1]OUT_FinalEnergyCons!G$4:G$10000)</f>
        <v>1.7665214151500659E-7</v>
      </c>
      <c r="J2236" s="1" cm="1">
        <f t="array" ref="J2236">SUMPRODUCT(([2]OUT_FinalEnergyCons!$B$4:$B$10000="var_ncap")*1,(ISNUMBER(SEARCH("RH*-SHELCBR",[2]OUT_FinalEnergyCons!$A$4:$A$10000)))*1,[2]OUT_FinalEnergyCons!H$4:H$10000)</f>
        <v>8.3655417166949332E-3</v>
      </c>
      <c r="K2236" s="1" cm="1">
        <f t="array" ref="K2236">SUMPRODUCT(([2]OUT_FinalEnergyCons!$B$4:$B$10000="var_ncap")*1,(ISNUMBER(SEARCH("RH*-SHELCBR",[2]OUT_FinalEnergyCons!$A$4:$A$10000)))*1,[2]OUT_FinalEnergyCons!I$4:I$10000)</f>
        <v>6.8580209270848304E-4</v>
      </c>
      <c r="L2236" s="1" cm="1">
        <f t="array" ref="L2236">SUMPRODUCT(([2]OUT_FinalEnergyCons!$B$4:$B$10000="var_ncap")*1,(ISNUMBER(SEARCH("RH*-SHELCBR",[2]OUT_FinalEnergyCons!$A$4:$A$10000)))*1,[2]OUT_FinalEnergyCons!J$4:J$10000)</f>
        <v>1.9652674470290983E-5</v>
      </c>
      <c r="N2236" s="1"/>
    </row>
    <row r="2237" spans="2:14" x14ac:dyDescent="0.35">
      <c r="B2237" s="5" t="str">
        <f t="shared" si="2139"/>
        <v>SPS1</v>
      </c>
      <c r="C2237" s="5" t="str">
        <f t="shared" si="2140"/>
        <v>CH</v>
      </c>
      <c r="D2237" t="s">
        <v>2371</v>
      </c>
      <c r="E2237" t="str">
        <f t="shared" si="2141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3.1448325223796876E-7</v>
      </c>
      <c r="G2237" s="1" cm="1">
        <f t="array" ref="G2237">SUMPRODUCT(([1]OUT_FinalEnergyCons!$B$4:$B$10000="var_ncap")*1,ISNUMBER(SEARCH("RH*-SHELCHP",[1]OUT_FinalEnergyCons!$A$4:$A$10000))*1,[1]OUT_FinalEnergyCons!E$4:E$10000)</f>
        <v>0.22427526141814363</v>
      </c>
      <c r="H2237" s="1" cm="1">
        <f t="array" ref="H2237">SUMPRODUCT(([1]OUT_FinalEnergyCons!$B$4:$B$10000="var_ncap")*1,ISNUMBER(SEARCH("RH*-SHELCHP",[1]OUT_FinalEnergyCons!$A$4:$A$10000))*1,[1]OUT_FinalEnergyCons!F$4:F$10000)</f>
        <v>0.89048461605404328</v>
      </c>
      <c r="I2237" s="1" cm="1">
        <f t="array" ref="I2237">SUMPRODUCT(([1]OUT_FinalEnergyCons!$B$4:$B$10000="var_ncap")*1,ISNUMBER(SEARCH("RH*-SHELCHP",[1]OUT_FinalEnergyCons!$A$4:$A$10000))*1,[1]OUT_FinalEnergyCons!G$4:G$10000)</f>
        <v>0.49606659706908113</v>
      </c>
      <c r="J2237" s="1" cm="1">
        <f t="array" ref="J2237">SUMPRODUCT(([2]OUT_FinalEnergyCons!$B$4:$B$10000="var_ncap")*1,ISNUMBER(SEARCH("RH*-SHELCHP",[2]OUT_FinalEnergyCons!$A$4:$A$10000))*1,[2]OUT_FinalEnergyCons!H$4:H$10000)</f>
        <v>1.5685849683742856</v>
      </c>
      <c r="K2237" s="1" cm="1">
        <f t="array" ref="K2237">SUMPRODUCT(([2]OUT_FinalEnergyCons!$B$4:$B$10000="var_ncap")*1,ISNUMBER(SEARCH("RH*-SHELCHP",[2]OUT_FinalEnergyCons!$A$4:$A$10000))*1,[2]OUT_FinalEnergyCons!I$4:I$10000)</f>
        <v>1.6596476988471169</v>
      </c>
      <c r="L2237" s="1" cm="1">
        <f t="array" ref="L2237">SUMPRODUCT(([2]OUT_FinalEnergyCons!$B$4:$B$10000="var_ncap")*1,ISNUMBER(SEARCH("RH*-SHELCHP",[2]OUT_FinalEnergyCons!$A$4:$A$10000))*1,[2]OUT_FinalEnergyCons!J$4:J$10000)</f>
        <v>2.3763531467464771</v>
      </c>
      <c r="N2237" s="1"/>
    </row>
    <row r="2238" spans="2:14" x14ac:dyDescent="0.35">
      <c r="B2238" s="5" t="str">
        <f t="shared" si="2139"/>
        <v>SPS1</v>
      </c>
      <c r="C2238" s="5" t="str">
        <f t="shared" si="2140"/>
        <v>CH</v>
      </c>
      <c r="D2238" t="s">
        <v>2372</v>
      </c>
      <c r="E2238" t="str">
        <f t="shared" si="2141"/>
        <v>GWth/yr.</v>
      </c>
      <c r="F2238" s="1">
        <f t="shared" ref="F2238:L2238" si="2142">F2239</f>
        <v>0</v>
      </c>
      <c r="G2238" s="1">
        <f t="shared" si="2142"/>
        <v>1.0425824406281808E-5</v>
      </c>
      <c r="H2238" s="1">
        <f t="shared" si="2142"/>
        <v>0.10579593277073784</v>
      </c>
      <c r="I2238" s="1">
        <f t="shared" si="2142"/>
        <v>1.0282541743129769E-7</v>
      </c>
      <c r="J2238" s="1">
        <f t="shared" si="2142"/>
        <v>0.39407500834982523</v>
      </c>
      <c r="K2238" s="1">
        <f t="shared" si="2142"/>
        <v>0.53965434016408997</v>
      </c>
      <c r="L2238" s="1">
        <f t="shared" si="2142"/>
        <v>3.1725488719960096E-8</v>
      </c>
      <c r="N2238" s="1"/>
    </row>
    <row r="2239" spans="2:14" x14ac:dyDescent="0.35">
      <c r="B2239" s="5" t="str">
        <f t="shared" si="2139"/>
        <v>SPS1</v>
      </c>
      <c r="C2239" s="5" t="str">
        <f t="shared" si="2140"/>
        <v>CH</v>
      </c>
      <c r="D2239" t="s">
        <v>2373</v>
      </c>
      <c r="E2239" t="str">
        <f t="shared" si="2141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1.0425824406281808E-5</v>
      </c>
      <c r="H2239" s="1" cm="1">
        <f t="array" ref="H2239">SUMPRODUCT(([1]OUT_FinalEnergyCons!$B$4:$B$10000="var_ncap")*1, (ISNUMBER(SEARCH("RH*-SHLFOBR",[1]OUT_FinalEnergyCons!$A$4:$A$10000)))*1,[1]OUT_FinalEnergyCons!F$4:F$10000)</f>
        <v>0.10579593277073784</v>
      </c>
      <c r="I2239" s="1" cm="1">
        <f t="array" ref="I2239">SUMPRODUCT(([1]OUT_FinalEnergyCons!$B$4:$B$10000="var_ncap")*1, (ISNUMBER(SEARCH("RH*-SHLFOBR",[1]OUT_FinalEnergyCons!$A$4:$A$10000)))*1,[1]OUT_FinalEnergyCons!G$4:G$10000)</f>
        <v>1.0282541743129769E-7</v>
      </c>
      <c r="J2239" s="1" cm="1">
        <f t="array" ref="J2239">SUMPRODUCT(([2]OUT_FinalEnergyCons!$B$4:$B$10000="var_ncap")*1, (ISNUMBER(SEARCH("RH*-SHLFOBR",[2]OUT_FinalEnergyCons!$A$4:$A$10000)))*1,[2]OUT_FinalEnergyCons!H$4:H$10000)</f>
        <v>0.39407500834982523</v>
      </c>
      <c r="K2239" s="1" cm="1">
        <f t="array" ref="K2239">SUMPRODUCT(([2]OUT_FinalEnergyCons!$B$4:$B$10000="var_ncap")*1, (ISNUMBER(SEARCH("RH*-SHLFOBR",[2]OUT_FinalEnergyCons!$A$4:$A$10000)))*1,[2]OUT_FinalEnergyCons!I$4:I$10000)</f>
        <v>0.53965434016408997</v>
      </c>
      <c r="L2239" s="1" cm="1">
        <f t="array" ref="L2239">SUMPRODUCT(([2]OUT_FinalEnergyCons!$B$4:$B$10000="var_ncap")*1, (ISNUMBER(SEARCH("RH*-SHLFOBR",[2]OUT_FinalEnergyCons!$A$4:$A$10000)))*1,[2]OUT_FinalEnergyCons!J$4:J$10000)</f>
        <v>3.1725488719960096E-8</v>
      </c>
      <c r="N2239" s="1"/>
    </row>
    <row r="2240" spans="2:14" x14ac:dyDescent="0.35">
      <c r="B2240" s="5" t="str">
        <f t="shared" si="2139"/>
        <v>SPS1</v>
      </c>
      <c r="C2240" s="5" t="str">
        <f t="shared" si="2140"/>
        <v>CH</v>
      </c>
      <c r="D2240" t="s">
        <v>2374</v>
      </c>
      <c r="E2240" t="str">
        <f t="shared" si="2141"/>
        <v>GWth/yr.</v>
      </c>
      <c r="F2240" s="1">
        <f t="shared" ref="F2240:K2240" si="2143">SUM(F2241:F2242)</f>
        <v>2.59208192242828E-8</v>
      </c>
      <c r="G2240" s="1">
        <f t="shared" si="2143"/>
        <v>0.1639715750328116</v>
      </c>
      <c r="H2240" s="1">
        <f t="shared" si="2143"/>
        <v>0.52844827182019349</v>
      </c>
      <c r="I2240" s="1">
        <f t="shared" si="2143"/>
        <v>0.3742931095712877</v>
      </c>
      <c r="J2240" s="1">
        <f t="shared" si="2143"/>
        <v>0.90514931671928778</v>
      </c>
      <c r="K2240" s="1">
        <f t="shared" si="2143"/>
        <v>1.1433545829854563</v>
      </c>
      <c r="L2240" s="1">
        <f t="shared" ref="L2240" si="2144">SUM(L2241:L2242)</f>
        <v>0.97817847489824372</v>
      </c>
      <c r="N2240" s="1"/>
    </row>
    <row r="2241" spans="2:14" x14ac:dyDescent="0.35">
      <c r="B2241" s="5" t="str">
        <f t="shared" si="2139"/>
        <v>SPS1</v>
      </c>
      <c r="C2241" s="5" t="str">
        <f t="shared" si="2140"/>
        <v>CH</v>
      </c>
      <c r="D2241" t="s">
        <v>2375</v>
      </c>
      <c r="E2241" t="str">
        <f t="shared" si="2141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0.16397122747522824</v>
      </c>
      <c r="H2241" s="1" cm="1">
        <f t="array" ref="H2241">SUMPRODUCT(([1]OUT_FinalEnergyCons!$B$4:$B$10000="var_ncap")*1, (ISNUMBER(SEARCH("RH*-SHNGABR",[1]OUT_FinalEnergyCons!$A$4:$A$10000)))*1,[1]OUT_FinalEnergyCons!F$4:F$10000)</f>
        <v>0.19522815025575299</v>
      </c>
      <c r="I2241" s="1" cm="1">
        <f t="array" ref="I2241">SUMPRODUCT(([1]OUT_FinalEnergyCons!$B$4:$B$10000="var_ncap")*1, (ISNUMBER(SEARCH("RH*-SHNGABR",[1]OUT_FinalEnergyCons!$A$4:$A$10000)))*1,[1]OUT_FinalEnergyCons!G$4:G$10000)</f>
        <v>7.9213825134991339E-4</v>
      </c>
      <c r="J2241" s="1" cm="1">
        <f t="array" ref="J2241">SUMPRODUCT(([2]OUT_FinalEnergyCons!$B$4:$B$10000="var_ncap")*1, (ISNUMBER(SEARCH("RH*-SHNGABR",[2]OUT_FinalEnergyCons!$A$4:$A$10000)))*1,[2]OUT_FinalEnergyCons!H$4:H$10000)</f>
        <v>0.65757893843833037</v>
      </c>
      <c r="K2241" s="1" cm="1">
        <f t="array" ref="K2241">SUMPRODUCT(([2]OUT_FinalEnergyCons!$B$4:$B$10000="var_ncap")*1, (ISNUMBER(SEARCH("RH*-SHNGABR",[2]OUT_FinalEnergyCons!$A$4:$A$10000)))*1,[2]OUT_FinalEnergyCons!I$4:I$10000)</f>
        <v>0.56399457609197423</v>
      </c>
      <c r="L2241" s="1" cm="1">
        <f t="array" ref="L2241">SUMPRODUCT(([2]OUT_FinalEnergyCons!$B$4:$B$10000="var_ncap")*1, (ISNUMBER(SEARCH("RH*-SHNGABR",[2]OUT_FinalEnergyCons!$A$4:$A$10000)))*1,[2]OUT_FinalEnergyCons!J$4:J$10000)</f>
        <v>9.7168800843636088E-3</v>
      </c>
      <c r="N2241" s="1"/>
    </row>
    <row r="2242" spans="2:14" x14ac:dyDescent="0.35">
      <c r="B2242" s="5" t="str">
        <f t="shared" si="2139"/>
        <v>SPS1</v>
      </c>
      <c r="C2242" s="5" t="str">
        <f t="shared" si="2140"/>
        <v>CH</v>
      </c>
      <c r="D2242" t="s">
        <v>2376</v>
      </c>
      <c r="E2242" t="str">
        <f t="shared" si="2141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2.59208192242828E-8</v>
      </c>
      <c r="G2242" s="1" cm="1">
        <f t="array" ref="G2242">SUMPRODUCT(([1]OUT_FinalEnergyCons!$B$4:$B$10000="var_ncap")*1,ISNUMBER(SEARCH("RH*-SHngahp",[1]OUT_FinalEnergyCons!$A$4:$A$10000))*1,[1]OUT_FinalEnergyCons!E$4:E$10000)</f>
        <v>3.4755758334358726E-7</v>
      </c>
      <c r="H2242" s="1" cm="1">
        <f t="array" ref="H2242">SUMPRODUCT(([1]OUT_FinalEnergyCons!$B$4:$B$10000="var_ncap")*1,ISNUMBER(SEARCH("RH*-SHngahp",[1]OUT_FinalEnergyCons!$A$4:$A$10000))*1,[1]OUT_FinalEnergyCons!F$4:F$10000)</f>
        <v>0.33322012156444047</v>
      </c>
      <c r="I2242" s="1" cm="1">
        <f t="array" ref="I2242">SUMPRODUCT(([1]OUT_FinalEnergyCons!$B$4:$B$10000="var_ncap")*1,ISNUMBER(SEARCH("RH*-SHngahp",[1]OUT_FinalEnergyCons!$A$4:$A$10000))*1,[1]OUT_FinalEnergyCons!G$4:G$10000)</f>
        <v>0.37350097131993776</v>
      </c>
      <c r="J2242" s="1" cm="1">
        <f t="array" ref="J2242">SUMPRODUCT(([2]OUT_FinalEnergyCons!$B$4:$B$10000="var_ncap")*1,ISNUMBER(SEARCH("RH*-SHngahp",[2]OUT_FinalEnergyCons!$A$4:$A$10000))*1,[2]OUT_FinalEnergyCons!H$4:H$10000)</f>
        <v>0.2475703782809574</v>
      </c>
      <c r="K2242" s="1" cm="1">
        <f t="array" ref="K2242">SUMPRODUCT(([2]OUT_FinalEnergyCons!$B$4:$B$10000="var_ncap")*1,ISNUMBER(SEARCH("RH*-SHngahp",[2]OUT_FinalEnergyCons!$A$4:$A$10000))*1,[2]OUT_FinalEnergyCons!I$4:I$10000)</f>
        <v>0.5793600068934821</v>
      </c>
      <c r="L2242" s="1" cm="1">
        <f t="array" ref="L2242">SUMPRODUCT(([2]OUT_FinalEnergyCons!$B$4:$B$10000="var_ncap")*1,ISNUMBER(SEARCH("RH*-SHngahp",[2]OUT_FinalEnergyCons!$A$4:$A$10000))*1,[2]OUT_FinalEnergyCons!J$4:J$10000)</f>
        <v>0.96846159481388017</v>
      </c>
      <c r="N2242" s="1"/>
    </row>
    <row r="2243" spans="2:14" x14ac:dyDescent="0.35">
      <c r="B2243" s="5" t="str">
        <f t="shared" si="2139"/>
        <v>SPS1</v>
      </c>
      <c r="C2243" s="5" t="str">
        <f t="shared" si="2140"/>
        <v>CH</v>
      </c>
      <c r="D2243" t="s">
        <v>2377</v>
      </c>
      <c r="E2243" t="str">
        <f t="shared" si="2141"/>
        <v>GWth/yr.</v>
      </c>
      <c r="F2243" s="1">
        <f t="shared" ref="F2243:L2243" si="2145">F2244</f>
        <v>0</v>
      </c>
      <c r="G2243" s="1">
        <f t="shared" si="2145"/>
        <v>0</v>
      </c>
      <c r="H2243" s="1">
        <f t="shared" si="2145"/>
        <v>0</v>
      </c>
      <c r="I2243" s="1">
        <f t="shared" si="2145"/>
        <v>0</v>
      </c>
      <c r="J2243" s="1">
        <f t="shared" si="2145"/>
        <v>0</v>
      </c>
      <c r="K2243" s="1">
        <f t="shared" si="2145"/>
        <v>0</v>
      </c>
      <c r="L2243" s="1">
        <f t="shared" si="2145"/>
        <v>0</v>
      </c>
      <c r="N2243" s="1"/>
    </row>
    <row r="2244" spans="2:14" x14ac:dyDescent="0.35">
      <c r="B2244" s="5" t="str">
        <f t="shared" si="2139"/>
        <v>SPS1</v>
      </c>
      <c r="C2244" s="5" t="str">
        <f t="shared" si="2140"/>
        <v>CH</v>
      </c>
      <c r="D2244" t="s">
        <v>2378</v>
      </c>
      <c r="E2244" t="str">
        <f t="shared" si="2141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9"/>
        <v>SPS1</v>
      </c>
      <c r="C2245" s="5" t="str">
        <f t="shared" si="2140"/>
        <v>CH</v>
      </c>
      <c r="D2245" t="s">
        <v>2379</v>
      </c>
      <c r="E2245" t="str">
        <f t="shared" si="2141"/>
        <v>GWth/yr.</v>
      </c>
      <c r="F2245" s="1">
        <f t="shared" ref="F2245:L2245" si="2146">F2246</f>
        <v>1.07410737776391E-7</v>
      </c>
      <c r="G2245" s="1">
        <f t="shared" si="2146"/>
        <v>6.0544616294365264E-2</v>
      </c>
      <c r="H2245" s="1">
        <f t="shared" si="2146"/>
        <v>1.416886180051154E-2</v>
      </c>
      <c r="I2245" s="1">
        <f t="shared" si="2146"/>
        <v>1.8859104093816671E-7</v>
      </c>
      <c r="J2245" s="1">
        <f t="shared" si="2146"/>
        <v>0.46651989669228627</v>
      </c>
      <c r="K2245" s="1">
        <f t="shared" si="2146"/>
        <v>0.1375118745349336</v>
      </c>
      <c r="L2245" s="1">
        <f t="shared" si="2146"/>
        <v>0.1262268030026529</v>
      </c>
      <c r="N2245" s="1"/>
    </row>
    <row r="2246" spans="2:14" x14ac:dyDescent="0.35">
      <c r="B2246" s="5" t="str">
        <f t="shared" si="2139"/>
        <v>SPS1</v>
      </c>
      <c r="C2246" s="5" t="str">
        <f t="shared" si="2140"/>
        <v>CH</v>
      </c>
      <c r="D2246" t="s">
        <v>2380</v>
      </c>
      <c r="E2246" t="str">
        <f t="shared" si="2141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1.07410737776391E-7</v>
      </c>
      <c r="G2246" s="1" cm="1">
        <f t="array" ref="G2246">SUMPRODUCT(([1]OUT_FinalEnergyCons!$B$4:$B$10000="var_ncap")*1, (ISNUMBER(SEARCH("RH*-SHWODBR",[1]OUT_FinalEnergyCons!$A$4:$A$10000)))*1,[1]OUT_FinalEnergyCons!E$4:E$10000)</f>
        <v>6.0544616294365264E-2</v>
      </c>
      <c r="H2246" s="1" cm="1">
        <f t="array" ref="H2246">SUMPRODUCT(([1]OUT_FinalEnergyCons!$B$4:$B$10000="var_ncap")*1, (ISNUMBER(SEARCH("RH*-SHWODBR",[1]OUT_FinalEnergyCons!$A$4:$A$10000)))*1,[1]OUT_FinalEnergyCons!F$4:F$10000)</f>
        <v>1.416886180051154E-2</v>
      </c>
      <c r="I2246" s="1" cm="1">
        <f t="array" ref="I2246">SUMPRODUCT(([1]OUT_FinalEnergyCons!$B$4:$B$10000="var_ncap")*1, (ISNUMBER(SEARCH("RH*-SHWODBR",[1]OUT_FinalEnergyCons!$A$4:$A$10000)))*1,[1]OUT_FinalEnergyCons!G$4:G$10000)</f>
        <v>1.8859104093816671E-7</v>
      </c>
      <c r="J2246" s="1" cm="1">
        <f t="array" ref="J2246">SUMPRODUCT(([2]OUT_FinalEnergyCons!$B$4:$B$10000="var_ncap")*1, (ISNUMBER(SEARCH("RH*-SHWODBR",[2]OUT_FinalEnergyCons!$A$4:$A$10000)))*1,[2]OUT_FinalEnergyCons!H$4:H$10000)</f>
        <v>0.46651989669228627</v>
      </c>
      <c r="K2246" s="1" cm="1">
        <f t="array" ref="K2246">SUMPRODUCT(([2]OUT_FinalEnergyCons!$B$4:$B$10000="var_ncap")*1, (ISNUMBER(SEARCH("RH*-SHWODBR",[2]OUT_FinalEnergyCons!$A$4:$A$10000)))*1,[2]OUT_FinalEnergyCons!I$4:I$10000)</f>
        <v>0.1375118745349336</v>
      </c>
      <c r="L2246" s="1" cm="1">
        <f t="array" ref="L2246">SUMPRODUCT(([2]OUT_FinalEnergyCons!$B$4:$B$10000="var_ncap")*1, (ISNUMBER(SEARCH("RH*-SHWODBR",[2]OUT_FinalEnergyCons!$A$4:$A$10000)))*1,[2]OUT_FinalEnergyCons!J$4:J$10000)</f>
        <v>0.1262268030026529</v>
      </c>
      <c r="N2246" s="1"/>
    </row>
    <row r="2247" spans="2:14" x14ac:dyDescent="0.35">
      <c r="B2247" s="5" t="str">
        <f t="shared" si="2139"/>
        <v>SPS1</v>
      </c>
      <c r="C2247" s="5" t="str">
        <f t="shared" si="2140"/>
        <v>CH</v>
      </c>
      <c r="D2247" t="s">
        <v>2381</v>
      </c>
      <c r="E2247" t="str">
        <f t="shared" si="2141"/>
        <v>GWth/yr.</v>
      </c>
      <c r="F2247" s="1">
        <f t="shared" ref="F2247:L2247" si="2147">F2248</f>
        <v>3.7991799592735201E-7</v>
      </c>
      <c r="G2247" s="1">
        <f t="shared" si="2147"/>
        <v>3.5904102152338094E-2</v>
      </c>
      <c r="H2247" s="1">
        <f t="shared" si="2147"/>
        <v>1.9822371648912866E-4</v>
      </c>
      <c r="I2247" s="1">
        <f t="shared" si="2147"/>
        <v>2.7770860434459373E-4</v>
      </c>
      <c r="J2247" s="1">
        <f t="shared" si="2147"/>
        <v>2.4881616388827264E-2</v>
      </c>
      <c r="K2247" s="1">
        <f t="shared" si="2147"/>
        <v>2.832440578661213E-2</v>
      </c>
      <c r="L2247" s="1">
        <f t="shared" si="2147"/>
        <v>3.3944773032103442E-2</v>
      </c>
      <c r="N2247" s="1"/>
    </row>
    <row r="2248" spans="2:14" x14ac:dyDescent="0.35">
      <c r="B2248" s="5" t="str">
        <f t="shared" si="2139"/>
        <v>SPS1</v>
      </c>
      <c r="C2248" s="5" t="str">
        <f t="shared" si="2140"/>
        <v>CH</v>
      </c>
      <c r="D2248" t="s">
        <v>2382</v>
      </c>
      <c r="E2248" t="str">
        <f t="shared" si="2141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3.7991799592735201E-7</v>
      </c>
      <c r="G2248" s="1" cm="1">
        <f t="array" ref="G2248">SUMPRODUCT(([1]OUT_FinalEnergyCons!$B$4:$B$10000="var_ncap")*1, (ISNUMBER(SEARCH("RH*-SHPLTBR",[1]OUT_FinalEnergyCons!$A$4:$A$10000)))*1,[1]OUT_FinalEnergyCons!E$4:E$10000)</f>
        <v>3.5904102152338094E-2</v>
      </c>
      <c r="H2248" s="1" cm="1">
        <f t="array" ref="H2248">SUMPRODUCT(([1]OUT_FinalEnergyCons!$B$4:$B$10000="var_ncap")*1, (ISNUMBER(SEARCH("RH*-SHPLTBR",[1]OUT_FinalEnergyCons!$A$4:$A$10000)))*1,[1]OUT_FinalEnergyCons!F$4:F$10000)</f>
        <v>1.9822371648912866E-4</v>
      </c>
      <c r="I2248" s="1" cm="1">
        <f t="array" ref="I2248">SUMPRODUCT(([1]OUT_FinalEnergyCons!$B$4:$B$10000="var_ncap")*1, (ISNUMBER(SEARCH("RH*-SHPLTBR",[1]OUT_FinalEnergyCons!$A$4:$A$10000)))*1,[1]OUT_FinalEnergyCons!G$4:G$10000)</f>
        <v>2.7770860434459373E-4</v>
      </c>
      <c r="J2248" s="1" cm="1">
        <f t="array" ref="J2248">SUMPRODUCT(([2]OUT_FinalEnergyCons!$B$4:$B$10000="var_ncap")*1, (ISNUMBER(SEARCH("RH*-SHPLTBR",[2]OUT_FinalEnergyCons!$A$4:$A$10000)))*1,[2]OUT_FinalEnergyCons!H$4:H$10000)</f>
        <v>2.4881616388827264E-2</v>
      </c>
      <c r="K2248" s="1" cm="1">
        <f t="array" ref="K2248">SUMPRODUCT(([2]OUT_FinalEnergyCons!$B$4:$B$10000="var_ncap")*1, (ISNUMBER(SEARCH("RH*-SHPLTBR",[2]OUT_FinalEnergyCons!$A$4:$A$10000)))*1,[2]OUT_FinalEnergyCons!I$4:I$10000)</f>
        <v>2.832440578661213E-2</v>
      </c>
      <c r="L2248" s="1" cm="1">
        <f t="array" ref="L2248">SUMPRODUCT(([2]OUT_FinalEnergyCons!$B$4:$B$10000="var_ncap")*1, (ISNUMBER(SEARCH("RH*-SHPLTBR",[2]OUT_FinalEnergyCons!$A$4:$A$10000)))*1,[2]OUT_FinalEnergyCons!J$4:J$10000)</f>
        <v>3.3944773032103442E-2</v>
      </c>
      <c r="N2248" s="1"/>
    </row>
    <row r="2249" spans="2:14" x14ac:dyDescent="0.35">
      <c r="B2249" s="5" t="str">
        <f t="shared" si="2139"/>
        <v>SPS1</v>
      </c>
      <c r="C2249" s="5" t="str">
        <f t="shared" si="2140"/>
        <v>CH</v>
      </c>
      <c r="D2249" t="s">
        <v>2383</v>
      </c>
      <c r="E2249" t="str">
        <f t="shared" si="2141"/>
        <v>GWth/yr.</v>
      </c>
      <c r="F2249" s="1">
        <f t="shared" ref="F2249:L2249" si="2148">F2250</f>
        <v>5.5629291427183904E-6</v>
      </c>
      <c r="G2249" s="1">
        <f t="shared" si="2148"/>
        <v>2.296072889848029E-2</v>
      </c>
      <c r="H2249" s="1">
        <f t="shared" si="2148"/>
        <v>5.3449988293447409E-7</v>
      </c>
      <c r="I2249" s="1">
        <f t="shared" si="2148"/>
        <v>1.2067473223160121E-6</v>
      </c>
      <c r="J2249" s="1">
        <f t="shared" si="2148"/>
        <v>3.5496609296587502E-5</v>
      </c>
      <c r="K2249" s="1">
        <f t="shared" si="2148"/>
        <v>5.7869103153285299E-3</v>
      </c>
      <c r="L2249" s="1">
        <f t="shared" si="2148"/>
        <v>1.8308030665241579E-3</v>
      </c>
      <c r="N2249" s="1"/>
    </row>
    <row r="2250" spans="2:14" x14ac:dyDescent="0.35">
      <c r="B2250" s="5" t="str">
        <f t="shared" si="2139"/>
        <v>SPS1</v>
      </c>
      <c r="C2250" s="5" t="str">
        <f t="shared" si="2140"/>
        <v>CH</v>
      </c>
      <c r="D2250" t="s">
        <v>2384</v>
      </c>
      <c r="E2250" t="str">
        <f t="shared" si="2141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5.5629291427183904E-6</v>
      </c>
      <c r="G2250" s="1" cm="1">
        <f t="array" ref="G2250">SUMPRODUCT(([1]OUT_FinalEnergyCons!$B$4:$B$10000="var_ncap")*1, (ISNUMBER(SEARCH("RH*-SHSOLBR",[1]OUT_FinalEnergyCons!$A$4:$A$10000)))*1,[1]OUT_FinalEnergyCons!E$4:E$10000)</f>
        <v>2.296072889848029E-2</v>
      </c>
      <c r="H2250" s="1" cm="1">
        <f t="array" ref="H2250">SUMPRODUCT(([1]OUT_FinalEnergyCons!$B$4:$B$10000="var_ncap")*1, (ISNUMBER(SEARCH("RH*-SHSOLBR",[1]OUT_FinalEnergyCons!$A$4:$A$10000)))*1,[1]OUT_FinalEnergyCons!F$4:F$10000)</f>
        <v>5.3449988293447409E-7</v>
      </c>
      <c r="I2250" s="1" cm="1">
        <f t="array" ref="I2250">SUMPRODUCT(([1]OUT_FinalEnergyCons!$B$4:$B$10000="var_ncap")*1, (ISNUMBER(SEARCH("RH*-SHSOLBR",[1]OUT_FinalEnergyCons!$A$4:$A$10000)))*1,[1]OUT_FinalEnergyCons!G$4:G$10000)</f>
        <v>1.2067473223160121E-6</v>
      </c>
      <c r="J2250" s="1" cm="1">
        <f t="array" ref="J2250">SUMPRODUCT(([2]OUT_FinalEnergyCons!$B$4:$B$10000="var_ncap")*1, (ISNUMBER(SEARCH("RH*-SHSOLBR",[2]OUT_FinalEnergyCons!$A$4:$A$10000)))*1,[2]OUT_FinalEnergyCons!H$4:H$10000)</f>
        <v>3.5496609296587502E-5</v>
      </c>
      <c r="K2250" s="1" cm="1">
        <f t="array" ref="K2250">SUMPRODUCT(([2]OUT_FinalEnergyCons!$B$4:$B$10000="var_ncap")*1, (ISNUMBER(SEARCH("RH*-SHSOLBR",[2]OUT_FinalEnergyCons!$A$4:$A$10000)))*1,[2]OUT_FinalEnergyCons!I$4:I$10000)</f>
        <v>5.7869103153285299E-3</v>
      </c>
      <c r="L2250" s="1" cm="1">
        <f t="array" ref="L2250">SUMPRODUCT(([2]OUT_FinalEnergyCons!$B$4:$B$10000="var_ncap")*1, (ISNUMBER(SEARCH("RH*-SHSOLBR",[2]OUT_FinalEnergyCons!$A$4:$A$10000)))*1,[2]OUT_FinalEnergyCons!J$4:J$10000)</f>
        <v>1.8308030665241579E-3</v>
      </c>
      <c r="N2250" s="1"/>
    </row>
    <row r="2251" spans="2:14" x14ac:dyDescent="0.35">
      <c r="B2251" s="5" t="str">
        <f t="shared" si="2139"/>
        <v>SPS1</v>
      </c>
      <c r="C2251" s="5" t="str">
        <f t="shared" si="2140"/>
        <v>CH</v>
      </c>
      <c r="D2251" t="s">
        <v>2385</v>
      </c>
      <c r="E2251" t="str">
        <f t="shared" si="2141"/>
        <v>GWth/yr.</v>
      </c>
      <c r="F2251" s="1">
        <f t="shared" ref="F2251:L2251" si="2149">F2252</f>
        <v>0</v>
      </c>
      <c r="G2251" s="1">
        <f t="shared" si="2149"/>
        <v>0</v>
      </c>
      <c r="H2251" s="1">
        <f t="shared" si="2149"/>
        <v>0</v>
      </c>
      <c r="I2251" s="1">
        <f t="shared" si="2149"/>
        <v>0</v>
      </c>
      <c r="J2251" s="1">
        <f t="shared" si="2149"/>
        <v>0</v>
      </c>
      <c r="K2251" s="1">
        <f t="shared" si="2149"/>
        <v>0</v>
      </c>
      <c r="L2251" s="1">
        <f t="shared" si="2149"/>
        <v>0</v>
      </c>
      <c r="N2251" s="1"/>
    </row>
    <row r="2252" spans="2:14" x14ac:dyDescent="0.35">
      <c r="B2252" s="5" t="str">
        <f t="shared" si="2139"/>
        <v>SPS1</v>
      </c>
      <c r="C2252" s="5" t="str">
        <f t="shared" si="2140"/>
        <v>CH</v>
      </c>
      <c r="D2252" t="s">
        <v>2386</v>
      </c>
      <c r="E2252" t="str">
        <f t="shared" si="2141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9"/>
        <v>SPS1</v>
      </c>
      <c r="C2253" s="5" t="str">
        <f t="shared" si="2140"/>
        <v>CH</v>
      </c>
      <c r="D2253" t="s">
        <v>2387</v>
      </c>
      <c r="E2253" t="str">
        <f t="shared" si="2141"/>
        <v>GWth/yr.</v>
      </c>
      <c r="F2253" s="1">
        <f t="shared" ref="F2253:K2253" si="2150">SUM(F2254,F2257,F2259,F2262,F2264,F2266,F2268,F2270)</f>
        <v>3.3706595558199098E-6</v>
      </c>
      <c r="G2253" s="1">
        <f t="shared" si="2150"/>
        <v>0.15658223325692866</v>
      </c>
      <c r="H2253" s="1">
        <f t="shared" si="2150"/>
        <v>0.16336308866212593</v>
      </c>
      <c r="I2253" s="1">
        <f t="shared" si="2150"/>
        <v>0.24465652681281969</v>
      </c>
      <c r="J2253" s="1">
        <f t="shared" si="2150"/>
        <v>0.81607160974118298</v>
      </c>
      <c r="K2253" s="1">
        <f t="shared" si="2150"/>
        <v>0.84483245479468883</v>
      </c>
      <c r="L2253" s="1">
        <f t="shared" ref="L2253" si="2151">SUM(L2254,L2257,L2259,L2262,L2264,L2266,L2268,L2270)</f>
        <v>1.1720343014971375</v>
      </c>
      <c r="N2253" s="1"/>
    </row>
    <row r="2254" spans="2:14" x14ac:dyDescent="0.35">
      <c r="B2254" s="5" t="str">
        <f t="shared" si="2139"/>
        <v>SPS1</v>
      </c>
      <c r="C2254" s="5" t="str">
        <f t="shared" si="2140"/>
        <v>CH</v>
      </c>
      <c r="D2254" t="s">
        <v>2388</v>
      </c>
      <c r="E2254" t="str">
        <f t="shared" si="2141"/>
        <v>GWth/yr.</v>
      </c>
      <c r="F2254" s="1">
        <f t="shared" ref="F2254:K2254" si="2152">SUM(F2255:F2256)</f>
        <v>3.3706595558199098E-6</v>
      </c>
      <c r="G2254" s="1">
        <f t="shared" si="2152"/>
        <v>6.6984198915960608E-2</v>
      </c>
      <c r="H2254" s="1">
        <f t="shared" si="2152"/>
        <v>6.7654678200574303E-2</v>
      </c>
      <c r="I2254" s="1">
        <f t="shared" si="2152"/>
        <v>0.1511064279427122</v>
      </c>
      <c r="J2254" s="1">
        <f t="shared" si="2152"/>
        <v>0.36604933562813935</v>
      </c>
      <c r="K2254" s="1">
        <f t="shared" si="2152"/>
        <v>0.36533580141450728</v>
      </c>
      <c r="L2254" s="1">
        <f t="shared" ref="L2254" si="2153">SUM(L2255:L2256)</f>
        <v>0.64064134841316189</v>
      </c>
      <c r="N2254" s="1"/>
    </row>
    <row r="2255" spans="2:14" x14ac:dyDescent="0.35">
      <c r="B2255" s="5" t="str">
        <f t="shared" si="2139"/>
        <v>SPS1</v>
      </c>
      <c r="C2255" s="5" t="str">
        <f t="shared" si="2140"/>
        <v>CH</v>
      </c>
      <c r="D2255" t="s">
        <v>2389</v>
      </c>
      <c r="E2255" t="str">
        <f t="shared" si="2141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1.6636851702083401E-6</v>
      </c>
      <c r="G2255" s="1" cm="1">
        <f t="array" ref="G2255">SUMPRODUCT(([1]OUT_FinalEnergyCons!$B$4:$B$10000="var_ncap")*1,(ISNUMBER(SEARCH("RH*-WHELCBR",[1]OUT_FinalEnergyCons!$A$4:$A$10000)))*1,[1]OUT_FinalEnergyCons!E$4:E$10000)</f>
        <v>3.4215623050409899E-2</v>
      </c>
      <c r="H2255" s="1" cm="1">
        <f t="array" ref="H2255">SUMPRODUCT(([1]OUT_FinalEnergyCons!$B$4:$B$10000="var_ncap")*1,(ISNUMBER(SEARCH("RH*-WHELCBR",[1]OUT_FinalEnergyCons!$A$4:$A$10000)))*1,[1]OUT_FinalEnergyCons!F$4:F$10000)</f>
        <v>5.9377273408906301E-8</v>
      </c>
      <c r="I2255" s="1" cm="1">
        <f t="array" ref="I2255">SUMPRODUCT(([1]OUT_FinalEnergyCons!$B$4:$B$10000="var_ncap")*1,(ISNUMBER(SEARCH("RH*-WHELCBR",[1]OUT_FinalEnergyCons!$A$4:$A$10000)))*1,[1]OUT_FinalEnergyCons!G$4:G$10000)</f>
        <v>9.9758635224826499E-8</v>
      </c>
      <c r="J2255" s="1" cm="1">
        <f t="array" ref="J2255">SUMPRODUCT(([2]OUT_FinalEnergyCons!$B$4:$B$10000="var_ncap")*1,(ISNUMBER(SEARCH("RH*-WHELCBR",[2]OUT_FinalEnergyCons!$A$4:$A$10000)))*1,[2]OUT_FinalEnergyCons!H$4:H$10000)</f>
        <v>5.4735230620513303E-2</v>
      </c>
      <c r="K2255" s="1" cm="1">
        <f t="array" ref="K2255">SUMPRODUCT(([2]OUT_FinalEnergyCons!$B$4:$B$10000="var_ncap")*1,(ISNUMBER(SEARCH("RH*-WHELCBR",[2]OUT_FinalEnergyCons!$A$4:$A$10000)))*1,[2]OUT_FinalEnergyCons!I$4:I$10000)</f>
        <v>7.6986249389601302E-2</v>
      </c>
      <c r="L2255" s="1" cm="1">
        <f t="array" ref="L2255">SUMPRODUCT(([2]OUT_FinalEnergyCons!$B$4:$B$10000="var_ncap")*1,(ISNUMBER(SEARCH("RH*-WHELCBR",[2]OUT_FinalEnergyCons!$A$4:$A$10000)))*1,[2]OUT_FinalEnergyCons!J$4:J$10000)</f>
        <v>3.6906747803051899E-2</v>
      </c>
      <c r="N2255" s="1"/>
    </row>
    <row r="2256" spans="2:14" x14ac:dyDescent="0.35">
      <c r="B2256" s="5" t="str">
        <f t="shared" si="2139"/>
        <v>SPS1</v>
      </c>
      <c r="C2256" s="5" t="str">
        <f t="shared" si="2140"/>
        <v>CH</v>
      </c>
      <c r="D2256" t="s">
        <v>2390</v>
      </c>
      <c r="E2256" t="str">
        <f t="shared" si="2141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1.7069743856115699E-6</v>
      </c>
      <c r="G2256" s="1" cm="1">
        <f t="array" ref="G2256">SUMPRODUCT(([1]OUT_FinalEnergyCons!$B$4:$B$10000="var_ncap")*1,ISNUMBER(SEARCH("RH*-WHELCHP",[1]OUT_FinalEnergyCons!$A$4:$A$10000))*1,[1]OUT_FinalEnergyCons!E$4:E$10000)</f>
        <v>3.2768575865550702E-2</v>
      </c>
      <c r="H2256" s="1" cm="1">
        <f t="array" ref="H2256">SUMPRODUCT(([1]OUT_FinalEnergyCons!$B$4:$B$10000="var_ncap")*1,ISNUMBER(SEARCH("RH*-WHELCHP",[1]OUT_FinalEnergyCons!$A$4:$A$10000))*1,[1]OUT_FinalEnergyCons!F$4:F$10000)</f>
        <v>6.7654618823300899E-2</v>
      </c>
      <c r="I2256" s="1" cm="1">
        <f t="array" ref="I2256">SUMPRODUCT(([1]OUT_FinalEnergyCons!$B$4:$B$10000="var_ncap")*1,ISNUMBER(SEARCH("RH*-WHELCHP",[1]OUT_FinalEnergyCons!$A$4:$A$10000))*1,[1]OUT_FinalEnergyCons!G$4:G$10000)</f>
        <v>0.15110632818407699</v>
      </c>
      <c r="J2256" s="1" cm="1">
        <f t="array" ref="J2256">SUMPRODUCT(([2]OUT_FinalEnergyCons!$B$4:$B$10000="var_ncap")*1,ISNUMBER(SEARCH("RH*-WHELCHP",[2]OUT_FinalEnergyCons!$A$4:$A$10000))*1,[2]OUT_FinalEnergyCons!H$4:H$10000)</f>
        <v>0.31131410500762602</v>
      </c>
      <c r="K2256" s="1" cm="1">
        <f t="array" ref="K2256">SUMPRODUCT(([2]OUT_FinalEnergyCons!$B$4:$B$10000="var_ncap")*1,ISNUMBER(SEARCH("RH*-WHELCHP",[2]OUT_FinalEnergyCons!$A$4:$A$10000))*1,[2]OUT_FinalEnergyCons!I$4:I$10000)</f>
        <v>0.28834955202490598</v>
      </c>
      <c r="L2256" s="1" cm="1">
        <f t="array" ref="L2256">SUMPRODUCT(([2]OUT_FinalEnergyCons!$B$4:$B$10000="var_ncap")*1,ISNUMBER(SEARCH("RH*-WHELCHP",[2]OUT_FinalEnergyCons!$A$4:$A$10000))*1,[2]OUT_FinalEnergyCons!J$4:J$10000)</f>
        <v>0.60373460061010997</v>
      </c>
      <c r="N2256" s="1"/>
    </row>
    <row r="2257" spans="2:14" x14ac:dyDescent="0.35">
      <c r="B2257" s="5" t="str">
        <f t="shared" si="2139"/>
        <v>SPS1</v>
      </c>
      <c r="C2257" s="5" t="str">
        <f t="shared" si="2140"/>
        <v>CH</v>
      </c>
      <c r="D2257" t="s">
        <v>2391</v>
      </c>
      <c r="E2257" t="str">
        <f t="shared" si="2141"/>
        <v>GWth/yr.</v>
      </c>
      <c r="F2257" s="1">
        <f t="shared" ref="F2257:L2257" si="2154">F2258</f>
        <v>0</v>
      </c>
      <c r="G2257" s="1">
        <f t="shared" si="2154"/>
        <v>2.7822498894335399E-8</v>
      </c>
      <c r="H2257" s="1">
        <f t="shared" si="2154"/>
        <v>2.4241944666567001E-8</v>
      </c>
      <c r="I2257" s="1">
        <f t="shared" si="2154"/>
        <v>4.9853241502545902E-8</v>
      </c>
      <c r="J2257" s="1">
        <f t="shared" si="2154"/>
        <v>3.63276810302018E-2</v>
      </c>
      <c r="K2257" s="1">
        <f t="shared" si="2154"/>
        <v>8.5837286119549897E-2</v>
      </c>
      <c r="L2257" s="1">
        <f t="shared" si="2154"/>
        <v>0</v>
      </c>
      <c r="N2257" s="1"/>
    </row>
    <row r="2258" spans="2:14" x14ac:dyDescent="0.35">
      <c r="B2258" s="5" t="str">
        <f t="shared" si="2139"/>
        <v>SPS1</v>
      </c>
      <c r="C2258" s="5" t="str">
        <f t="shared" si="2140"/>
        <v>CH</v>
      </c>
      <c r="D2258" t="s">
        <v>2392</v>
      </c>
      <c r="E2258" t="str">
        <f t="shared" si="2141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2.7822498894335399E-8</v>
      </c>
      <c r="H2258" s="1" cm="1">
        <f t="array" ref="H2258">SUMPRODUCT(([1]OUT_FinalEnergyCons!$B$4:$B$10000="var_ncap")*1, (ISNUMBER(SEARCH("RH*-WHLFOBR",[1]OUT_FinalEnergyCons!$A$4:$A$10000)))*1,[1]OUT_FinalEnergyCons!F$4:F$10000)</f>
        <v>2.4241944666567001E-8</v>
      </c>
      <c r="I2258" s="1" cm="1">
        <f t="array" ref="I2258">SUMPRODUCT(([1]OUT_FinalEnergyCons!$B$4:$B$10000="var_ncap")*1, (ISNUMBER(SEARCH("RH*-WHLFOBR",[1]OUT_FinalEnergyCons!$A$4:$A$10000)))*1,[1]OUT_FinalEnergyCons!G$4:G$10000)</f>
        <v>4.9853241502545902E-8</v>
      </c>
      <c r="J2258" s="1" cm="1">
        <f t="array" ref="J2258">SUMPRODUCT(([2]OUT_FinalEnergyCons!$B$4:$B$10000="var_ncap")*1, (ISNUMBER(SEARCH("RH*-WHLFOBR",[2]OUT_FinalEnergyCons!$A$4:$A$10000)))*1,[2]OUT_FinalEnergyCons!H$4:H$10000)</f>
        <v>3.63276810302018E-2</v>
      </c>
      <c r="K2258" s="1" cm="1">
        <f t="array" ref="K2258">SUMPRODUCT(([2]OUT_FinalEnergyCons!$B$4:$B$10000="var_ncap")*1, (ISNUMBER(SEARCH("RH*-WHLFOBR",[2]OUT_FinalEnergyCons!$A$4:$A$10000)))*1,[2]OUT_FinalEnergyCons!I$4:I$10000)</f>
        <v>8.5837286119549897E-2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9"/>
        <v>SPS1</v>
      </c>
      <c r="C2259" s="5" t="str">
        <f t="shared" si="2140"/>
        <v>CH</v>
      </c>
      <c r="D2259" t="s">
        <v>2393</v>
      </c>
      <c r="E2259" t="str">
        <f t="shared" si="2141"/>
        <v>GWth/yr.</v>
      </c>
      <c r="F2259" s="1">
        <f t="shared" ref="F2259:K2259" si="2155">SUM(F2260:F2261)</f>
        <v>0</v>
      </c>
      <c r="G2259" s="1">
        <f t="shared" si="2155"/>
        <v>1.137152427789316E-7</v>
      </c>
      <c r="H2259" s="1">
        <f t="shared" si="2155"/>
        <v>5.9459533720797528E-2</v>
      </c>
      <c r="I2259" s="1">
        <f t="shared" si="2155"/>
        <v>8.5647488070235298E-2</v>
      </c>
      <c r="J2259" s="1">
        <f t="shared" si="2155"/>
        <v>0.21410864857868539</v>
      </c>
      <c r="K2259" s="1">
        <f t="shared" si="2155"/>
        <v>0.21274271476572251</v>
      </c>
      <c r="L2259" s="1">
        <f t="shared" ref="L2259" si="2156">SUM(L2260:L2261)</f>
        <v>0.30349985295995341</v>
      </c>
      <c r="N2259" s="1"/>
    </row>
    <row r="2260" spans="2:14" x14ac:dyDescent="0.35">
      <c r="B2260" s="5" t="str">
        <f t="shared" si="2139"/>
        <v>SPS1</v>
      </c>
      <c r="C2260" s="5" t="str">
        <f t="shared" si="2140"/>
        <v>CH</v>
      </c>
      <c r="D2260" t="s">
        <v>2394</v>
      </c>
      <c r="E2260" t="str">
        <f t="shared" si="2141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4.19565027487613E-8</v>
      </c>
      <c r="H2260" s="1" cm="1">
        <f t="array" ref="H2260">SUMPRODUCT(([1]OUT_FinalEnergyCons!$B$4:$B$10000="var_ncap")*1, (ISNUMBER(SEARCH("RH*-WHNGABR",[1]OUT_FinalEnergyCons!$A$4:$A$10000)))*1,[1]OUT_FinalEnergyCons!F$4:F$10000)</f>
        <v>4.8523353225387798E-8</v>
      </c>
      <c r="I2260" s="1" cm="1">
        <f t="array" ref="I2260">SUMPRODUCT(([1]OUT_FinalEnergyCons!$B$4:$B$10000="var_ncap")*1, (ISNUMBER(SEARCH("RH*-WHNGABR",[1]OUT_FinalEnergyCons!$A$4:$A$10000)))*1,[1]OUT_FinalEnergyCons!G$4:G$10000)</f>
        <v>5.8953645705452597E-8</v>
      </c>
      <c r="J2260" s="1" cm="1">
        <f t="array" ref="J2260">SUMPRODUCT(([2]OUT_FinalEnergyCons!$B$4:$B$10000="var_ncap")*1, (ISNUMBER(SEARCH("RH*-WHNGABR",[2]OUT_FinalEnergyCons!$A$4:$A$10000)))*1,[2]OUT_FinalEnergyCons!H$4:H$10000)</f>
        <v>0.135803679115099</v>
      </c>
      <c r="K2260" s="1" cm="1">
        <f t="array" ref="K2260">SUMPRODUCT(([2]OUT_FinalEnergyCons!$B$4:$B$10000="var_ncap")*1, (ISNUMBER(SEARCH("RH*-WHNGABR",[2]OUT_FinalEnergyCons!$A$4:$A$10000)))*1,[2]OUT_FinalEnergyCons!I$4:I$10000)</f>
        <v>7.3248703778721502E-2</v>
      </c>
      <c r="L2260" s="1" cm="1">
        <f t="array" ref="L2260">SUMPRODUCT(([2]OUT_FinalEnergyCons!$B$4:$B$10000="var_ncap")*1, (ISNUMBER(SEARCH("RH*-WHNGABR",[2]OUT_FinalEnergyCons!$A$4:$A$10000)))*1,[2]OUT_FinalEnergyCons!J$4:J$10000)</f>
        <v>2.13987871238644E-2</v>
      </c>
      <c r="N2260" s="1"/>
    </row>
    <row r="2261" spans="2:14" x14ac:dyDescent="0.35">
      <c r="B2261" s="5" t="str">
        <f t="shared" si="2139"/>
        <v>SPS1</v>
      </c>
      <c r="C2261" s="5" t="str">
        <f t="shared" si="2140"/>
        <v>CH</v>
      </c>
      <c r="D2261" t="s">
        <v>2395</v>
      </c>
      <c r="E2261" t="str">
        <f t="shared" si="2141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7.1758740030170305E-8</v>
      </c>
      <c r="H2261" s="1" cm="1">
        <f t="array" ref="H2261">SUMPRODUCT(([1]OUT_FinalEnergyCons!$B$4:$B$10000="var_ncap")*1,ISNUMBER(SEARCH("RH*-WHngahp",[1]OUT_FinalEnergyCons!$A$4:$A$10000))*1,[1]OUT_FinalEnergyCons!F$4:F$10000)</f>
        <v>5.9459485197444303E-2</v>
      </c>
      <c r="I2261" s="1" cm="1">
        <f t="array" ref="I2261">SUMPRODUCT(([1]OUT_FinalEnergyCons!$B$4:$B$10000="var_ncap")*1,ISNUMBER(SEARCH("RH*-WHngahp",[1]OUT_FinalEnergyCons!$A$4:$A$10000))*1,[1]OUT_FinalEnergyCons!G$4:G$10000)</f>
        <v>8.5647429116589596E-2</v>
      </c>
      <c r="J2261" s="1" cm="1">
        <f t="array" ref="J2261">SUMPRODUCT(([2]OUT_FinalEnergyCons!$B$4:$B$10000="var_ncap")*1,ISNUMBER(SEARCH("RH*-WHngahp",[2]OUT_FinalEnergyCons!$A$4:$A$10000))*1,[2]OUT_FinalEnergyCons!H$4:H$10000)</f>
        <v>7.8304969463586394E-2</v>
      </c>
      <c r="K2261" s="1" cm="1">
        <f t="array" ref="K2261">SUMPRODUCT(([2]OUT_FinalEnergyCons!$B$4:$B$10000="var_ncap")*1,ISNUMBER(SEARCH("RH*-WHngahp",[2]OUT_FinalEnergyCons!$A$4:$A$10000))*1,[2]OUT_FinalEnergyCons!I$4:I$10000)</f>
        <v>0.13949401098700101</v>
      </c>
      <c r="L2261" s="1" cm="1">
        <f t="array" ref="L2261">SUMPRODUCT(([2]OUT_FinalEnergyCons!$B$4:$B$10000="var_ncap")*1,ISNUMBER(SEARCH("RH*-WHngahp",[2]OUT_FinalEnergyCons!$A$4:$A$10000))*1,[2]OUT_FinalEnergyCons!J$4:J$10000)</f>
        <v>0.28210106583608902</v>
      </c>
      <c r="N2261" s="1"/>
    </row>
    <row r="2262" spans="2:14" x14ac:dyDescent="0.35">
      <c r="B2262" s="5" t="str">
        <f t="shared" si="2139"/>
        <v>SPS1</v>
      </c>
      <c r="C2262" s="5" t="str">
        <f t="shared" si="2140"/>
        <v>CH</v>
      </c>
      <c r="D2262" t="s">
        <v>2396</v>
      </c>
      <c r="E2262" t="str">
        <f t="shared" si="2141"/>
        <v>GWth/yr.</v>
      </c>
      <c r="F2262" s="1">
        <f t="shared" ref="F2262:L2262" si="2157">F2263</f>
        <v>0</v>
      </c>
      <c r="G2262" s="1">
        <f t="shared" si="2157"/>
        <v>0</v>
      </c>
      <c r="H2262" s="1">
        <f t="shared" si="2157"/>
        <v>0</v>
      </c>
      <c r="I2262" s="1">
        <f t="shared" si="2157"/>
        <v>0</v>
      </c>
      <c r="J2262" s="1">
        <f t="shared" si="2157"/>
        <v>0</v>
      </c>
      <c r="K2262" s="1">
        <f t="shared" si="2157"/>
        <v>0</v>
      </c>
      <c r="L2262" s="1">
        <f t="shared" si="2157"/>
        <v>0</v>
      </c>
      <c r="N2262" s="1"/>
    </row>
    <row r="2263" spans="2:14" x14ac:dyDescent="0.35">
      <c r="B2263" s="5" t="str">
        <f t="shared" si="2139"/>
        <v>SPS1</v>
      </c>
      <c r="C2263" s="5" t="str">
        <f t="shared" si="2140"/>
        <v>CH</v>
      </c>
      <c r="D2263" t="s">
        <v>2397</v>
      </c>
      <c r="E2263" t="str">
        <f t="shared" si="2141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9"/>
        <v>SPS1</v>
      </c>
      <c r="C2264" s="5" t="str">
        <f t="shared" si="2140"/>
        <v>CH</v>
      </c>
      <c r="D2264" t="s">
        <v>2398</v>
      </c>
      <c r="E2264" t="str">
        <f t="shared" si="2141"/>
        <v>GWth/yr.</v>
      </c>
      <c r="F2264" s="1">
        <f t="shared" ref="F2264:L2264" si="2158">F2265</f>
        <v>0</v>
      </c>
      <c r="G2264" s="1">
        <f t="shared" si="2158"/>
        <v>5.1141681915983003E-3</v>
      </c>
      <c r="H2264" s="1">
        <f t="shared" si="2158"/>
        <v>3.6248745382499503E-2</v>
      </c>
      <c r="I2264" s="1">
        <f t="shared" si="2158"/>
        <v>7.9021595161018199E-3</v>
      </c>
      <c r="J2264" s="1">
        <f t="shared" si="2158"/>
        <v>2.8658820672109502E-2</v>
      </c>
      <c r="K2264" s="1">
        <f t="shared" si="2158"/>
        <v>4.52404119171224E-2</v>
      </c>
      <c r="L2264" s="1">
        <f t="shared" si="2158"/>
        <v>3.87297661652342E-2</v>
      </c>
      <c r="N2264" s="1"/>
    </row>
    <row r="2265" spans="2:14" x14ac:dyDescent="0.35">
      <c r="B2265" s="5" t="str">
        <f t="shared" si="2139"/>
        <v>SPS1</v>
      </c>
      <c r="C2265" s="5" t="str">
        <f t="shared" si="2140"/>
        <v>CH</v>
      </c>
      <c r="D2265" t="s">
        <v>2399</v>
      </c>
      <c r="E2265" t="str">
        <f t="shared" si="2141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5.1141681915983003E-3</v>
      </c>
      <c r="H2265" s="1" cm="1">
        <f t="array" ref="H2265">SUMPRODUCT(([1]OUT_FinalEnergyCons!$B$4:$B$10000="var_ncap")*1, (ISNUMBER(SEARCH("RH*-WHWODBR",[1]OUT_FinalEnergyCons!$A$4:$A$10000)))*1,[1]OUT_FinalEnergyCons!F$4:F$10000)</f>
        <v>3.6248745382499503E-2</v>
      </c>
      <c r="I2265" s="1" cm="1">
        <f t="array" ref="I2265">SUMPRODUCT(([1]OUT_FinalEnergyCons!$B$4:$B$10000="var_ncap")*1, (ISNUMBER(SEARCH("RH*-WHWODBR",[1]OUT_FinalEnergyCons!$A$4:$A$10000)))*1,[1]OUT_FinalEnergyCons!G$4:G$10000)</f>
        <v>7.9021595161018199E-3</v>
      </c>
      <c r="J2265" s="1" cm="1">
        <f t="array" ref="J2265">SUMPRODUCT(([2]OUT_FinalEnergyCons!$B$4:$B$10000="var_ncap")*1, (ISNUMBER(SEARCH("RH*-WHWODBR",[2]OUT_FinalEnergyCons!$A$4:$A$10000)))*1,[2]OUT_FinalEnergyCons!H$4:H$10000)</f>
        <v>2.8658820672109502E-2</v>
      </c>
      <c r="K2265" s="1" cm="1">
        <f t="array" ref="K2265">SUMPRODUCT(([2]OUT_FinalEnergyCons!$B$4:$B$10000="var_ncap")*1, (ISNUMBER(SEARCH("RH*-WHWODBR",[2]OUT_FinalEnergyCons!$A$4:$A$10000)))*1,[2]OUT_FinalEnergyCons!I$4:I$10000)</f>
        <v>4.52404119171224E-2</v>
      </c>
      <c r="L2265" s="1" cm="1">
        <f t="array" ref="L2265">SUMPRODUCT(([2]OUT_FinalEnergyCons!$B$4:$B$10000="var_ncap")*1, (ISNUMBER(SEARCH("RH*-WHWODBR",[2]OUT_FinalEnergyCons!$A$4:$A$10000)))*1,[2]OUT_FinalEnergyCons!J$4:J$10000)</f>
        <v>3.87297661652342E-2</v>
      </c>
      <c r="N2265" s="1"/>
    </row>
    <row r="2266" spans="2:14" x14ac:dyDescent="0.35">
      <c r="B2266" s="5" t="str">
        <f t="shared" si="2139"/>
        <v>SPS1</v>
      </c>
      <c r="C2266" s="5" t="str">
        <f t="shared" si="2140"/>
        <v>CH</v>
      </c>
      <c r="D2266" t="s">
        <v>2400</v>
      </c>
      <c r="E2266" t="str">
        <f t="shared" si="2141"/>
        <v>GWth/yr.</v>
      </c>
      <c r="F2266" s="1">
        <f t="shared" ref="F2266:L2266" si="2159">F2267</f>
        <v>0</v>
      </c>
      <c r="G2266" s="1">
        <f t="shared" si="2159"/>
        <v>1.95022187787249E-3</v>
      </c>
      <c r="H2266" s="1">
        <f t="shared" si="2159"/>
        <v>2.8862713371546399E-8</v>
      </c>
      <c r="I2266" s="1">
        <f t="shared" si="2159"/>
        <v>2.5657198421957902E-7</v>
      </c>
      <c r="J2266" s="1">
        <f t="shared" si="2159"/>
        <v>8.7998319637270193E-3</v>
      </c>
      <c r="K2266" s="1">
        <f t="shared" si="2159"/>
        <v>6.4498446593697998E-3</v>
      </c>
      <c r="L2266" s="1">
        <f t="shared" si="2159"/>
        <v>1.2523387915548001E-2</v>
      </c>
      <c r="N2266" s="1"/>
    </row>
    <row r="2267" spans="2:14" x14ac:dyDescent="0.35">
      <c r="B2267" s="5" t="str">
        <f t="shared" si="2139"/>
        <v>SPS1</v>
      </c>
      <c r="C2267" s="5" t="str">
        <f t="shared" si="2140"/>
        <v>CH</v>
      </c>
      <c r="D2267" t="s">
        <v>2401</v>
      </c>
      <c r="E2267" t="str">
        <f t="shared" si="2141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1.95022187787249E-3</v>
      </c>
      <c r="H2267" s="1" cm="1">
        <f t="array" ref="H2267">SUMPRODUCT(([1]OUT_FinalEnergyCons!$B$4:$B$10000="var_ncap")*1, (ISNUMBER(SEARCH("RH*-WHPLTBR",[1]OUT_FinalEnergyCons!$A$4:$A$10000)))*1,[1]OUT_FinalEnergyCons!F$4:F$10000)</f>
        <v>2.8862713371546399E-8</v>
      </c>
      <c r="I2267" s="1" cm="1">
        <f t="array" ref="I2267">SUMPRODUCT(([1]OUT_FinalEnergyCons!$B$4:$B$10000="var_ncap")*1, (ISNUMBER(SEARCH("RH*-WHPLTBR",[1]OUT_FinalEnergyCons!$A$4:$A$10000)))*1,[1]OUT_FinalEnergyCons!G$4:G$10000)</f>
        <v>2.5657198421957902E-7</v>
      </c>
      <c r="J2267" s="1" cm="1">
        <f t="array" ref="J2267">SUMPRODUCT(([2]OUT_FinalEnergyCons!$B$4:$B$10000="var_ncap")*1, (ISNUMBER(SEARCH("RH*-WHPLTBR",[2]OUT_FinalEnergyCons!$A$4:$A$10000)))*1,[2]OUT_FinalEnergyCons!H$4:H$10000)</f>
        <v>8.7998319637270193E-3</v>
      </c>
      <c r="K2267" s="1" cm="1">
        <f t="array" ref="K2267">SUMPRODUCT(([2]OUT_FinalEnergyCons!$B$4:$B$10000="var_ncap")*1, (ISNUMBER(SEARCH("RH*-WHPLTBR",[2]OUT_FinalEnergyCons!$A$4:$A$10000)))*1,[2]OUT_FinalEnergyCons!I$4:I$10000)</f>
        <v>6.4498446593697998E-3</v>
      </c>
      <c r="L2267" s="1" cm="1">
        <f t="array" ref="L2267">SUMPRODUCT(([2]OUT_FinalEnergyCons!$B$4:$B$10000="var_ncap")*1, (ISNUMBER(SEARCH("RH*-WHPLTBR",[2]OUT_FinalEnergyCons!$A$4:$A$10000)))*1,[2]OUT_FinalEnergyCons!J$4:J$10000)</f>
        <v>1.2523387915548001E-2</v>
      </c>
      <c r="N2267" s="1"/>
    </row>
    <row r="2268" spans="2:14" x14ac:dyDescent="0.35">
      <c r="B2268" s="5" t="str">
        <f t="shared" ref="B2268:B2294" si="2160">B2267</f>
        <v>SPS1</v>
      </c>
      <c r="C2268" s="5" t="str">
        <f t="shared" ref="C2268:C2294" si="2161">C2267</f>
        <v>CH</v>
      </c>
      <c r="D2268" t="s">
        <v>2402</v>
      </c>
      <c r="E2268" t="str">
        <f t="shared" ref="E2268:E2299" si="2162">E2267</f>
        <v>GWth/yr.</v>
      </c>
      <c r="F2268" s="1">
        <f t="shared" ref="F2268:L2268" si="2163">F2269</f>
        <v>0</v>
      </c>
      <c r="G2268" s="1">
        <f t="shared" si="2163"/>
        <v>8.2533502733755607E-2</v>
      </c>
      <c r="H2268" s="1">
        <f t="shared" si="2163"/>
        <v>7.8253596569246703E-8</v>
      </c>
      <c r="I2268" s="1">
        <f t="shared" si="2163"/>
        <v>1.44858544624595E-7</v>
      </c>
      <c r="J2268" s="1">
        <f t="shared" si="2163"/>
        <v>0.16212729186832001</v>
      </c>
      <c r="K2268" s="1">
        <f t="shared" si="2163"/>
        <v>0.129226395918417</v>
      </c>
      <c r="L2268" s="1">
        <f t="shared" si="2163"/>
        <v>0.17663994604323999</v>
      </c>
      <c r="N2268" s="1"/>
    </row>
    <row r="2269" spans="2:14" x14ac:dyDescent="0.35">
      <c r="B2269" s="5" t="str">
        <f t="shared" si="2160"/>
        <v>SPS1</v>
      </c>
      <c r="C2269" s="5" t="str">
        <f t="shared" si="2161"/>
        <v>CH</v>
      </c>
      <c r="D2269" t="s">
        <v>2403</v>
      </c>
      <c r="E2269" t="str">
        <f t="shared" si="2162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8.2533502733755607E-2</v>
      </c>
      <c r="H2269" s="1" cm="1">
        <f t="array" ref="H2269">SUMPRODUCT(([1]OUT_FinalEnergyCons!$B$4:$B$10000="var_ncap")*1, (ISNUMBER(SEARCH("RH*-WHSOLBR",[1]OUT_FinalEnergyCons!$A$4:$A$10000)))*1,[1]OUT_FinalEnergyCons!F$4:F$10000)</f>
        <v>7.8253596569246703E-8</v>
      </c>
      <c r="I2269" s="1" cm="1">
        <f t="array" ref="I2269">SUMPRODUCT(([1]OUT_FinalEnergyCons!$B$4:$B$10000="var_ncap")*1, (ISNUMBER(SEARCH("RH*-WHSOLBR",[1]OUT_FinalEnergyCons!$A$4:$A$10000)))*1,[1]OUT_FinalEnergyCons!G$4:G$10000)</f>
        <v>1.44858544624595E-7</v>
      </c>
      <c r="J2269" s="1" cm="1">
        <f t="array" ref="J2269">SUMPRODUCT(([2]OUT_FinalEnergyCons!$B$4:$B$10000="var_ncap")*1, (ISNUMBER(SEARCH("RH*-WHSOLBR",[2]OUT_FinalEnergyCons!$A$4:$A$10000)))*1,[2]OUT_FinalEnergyCons!H$4:H$10000)</f>
        <v>0.16212729186832001</v>
      </c>
      <c r="K2269" s="1" cm="1">
        <f t="array" ref="K2269">SUMPRODUCT(([2]OUT_FinalEnergyCons!$B$4:$B$10000="var_ncap")*1, (ISNUMBER(SEARCH("RH*-WHSOLBR",[2]OUT_FinalEnergyCons!$A$4:$A$10000)))*1,[2]OUT_FinalEnergyCons!I$4:I$10000)</f>
        <v>0.129226395918417</v>
      </c>
      <c r="L2269" s="1" cm="1">
        <f t="array" ref="L2269">SUMPRODUCT(([2]OUT_FinalEnergyCons!$B$4:$B$10000="var_ncap")*1, (ISNUMBER(SEARCH("RH*-WHSOLBR",[2]OUT_FinalEnergyCons!$A$4:$A$10000)))*1,[2]OUT_FinalEnergyCons!J$4:J$10000)</f>
        <v>0.17663994604323999</v>
      </c>
      <c r="N2269" s="1"/>
    </row>
    <row r="2270" spans="2:14" x14ac:dyDescent="0.35">
      <c r="B2270" s="5" t="str">
        <f t="shared" si="2160"/>
        <v>SPS1</v>
      </c>
      <c r="C2270" s="5" t="str">
        <f t="shared" si="2161"/>
        <v>CH</v>
      </c>
      <c r="D2270" t="s">
        <v>2404</v>
      </c>
      <c r="E2270" t="str">
        <f t="shared" si="2162"/>
        <v>GWth/yr.</v>
      </c>
      <c r="F2270" s="1">
        <f t="shared" ref="F2270:L2270" si="2164">F2271</f>
        <v>0</v>
      </c>
      <c r="G2270" s="1">
        <f t="shared" si="2164"/>
        <v>0</v>
      </c>
      <c r="H2270" s="1">
        <f t="shared" si="2164"/>
        <v>0</v>
      </c>
      <c r="I2270" s="1">
        <f t="shared" si="2164"/>
        <v>0</v>
      </c>
      <c r="J2270" s="1">
        <f t="shared" si="2164"/>
        <v>0</v>
      </c>
      <c r="K2270" s="1">
        <f t="shared" si="2164"/>
        <v>0</v>
      </c>
      <c r="L2270" s="1">
        <f t="shared" si="2164"/>
        <v>0</v>
      </c>
      <c r="N2270" s="1"/>
    </row>
    <row r="2271" spans="2:14" x14ac:dyDescent="0.35">
      <c r="B2271" s="5" t="str">
        <f t="shared" si="2160"/>
        <v>SPS1</v>
      </c>
      <c r="C2271" s="5" t="str">
        <f t="shared" si="2161"/>
        <v>CH</v>
      </c>
      <c r="D2271" t="s">
        <v>2405</v>
      </c>
      <c r="E2271" t="str">
        <f t="shared" si="2162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60"/>
        <v>SPS1</v>
      </c>
      <c r="C2272" s="9" t="str">
        <f t="shared" si="2161"/>
        <v>CH</v>
      </c>
      <c r="D2272" s="2" t="s">
        <v>2406</v>
      </c>
      <c r="E2272" s="9" t="str">
        <f t="shared" si="2162"/>
        <v>GWth/yr.</v>
      </c>
      <c r="F2272" s="17">
        <f t="shared" ref="F2272:K2272" si="2165">SUM(F2273,F2276,F2279,F2283,F2285,F2287,F2289,F2291,F2293)</f>
        <v>2.9589230913600799E-4</v>
      </c>
      <c r="G2272" s="17">
        <f t="shared" si="2165"/>
        <v>0.28308132899534766</v>
      </c>
      <c r="H2272" s="17">
        <f t="shared" si="2165"/>
        <v>3.1138570229710765E-2</v>
      </c>
      <c r="I2272" s="17">
        <f t="shared" si="2165"/>
        <v>0.21295441619119551</v>
      </c>
      <c r="J2272" s="17">
        <f t="shared" si="2165"/>
        <v>2.2205080792061871</v>
      </c>
      <c r="K2272" s="17">
        <f t="shared" si="2165"/>
        <v>1.1148169191498913</v>
      </c>
      <c r="L2272" s="17">
        <f t="shared" ref="L2272" si="2166">SUM(L2273,L2276,L2279,L2283,L2285,L2287,L2289,L2291,L2293)</f>
        <v>1.7307286549331524</v>
      </c>
      <c r="N2272" s="1"/>
    </row>
    <row r="2273" spans="2:14" x14ac:dyDescent="0.35">
      <c r="B2273" s="5" t="str">
        <f t="shared" si="2160"/>
        <v>SPS1</v>
      </c>
      <c r="C2273" s="5" t="str">
        <f t="shared" si="2161"/>
        <v>CH</v>
      </c>
      <c r="D2273" t="s">
        <v>2407</v>
      </c>
      <c r="E2273" t="str">
        <f t="shared" si="2162"/>
        <v>GWth/yr.</v>
      </c>
      <c r="F2273" s="18">
        <f t="shared" ref="F2273:K2273" si="2167">SUM(F2274:F2275)</f>
        <v>0</v>
      </c>
      <c r="G2273" s="18">
        <f t="shared" si="2167"/>
        <v>0.2187045759140768</v>
      </c>
      <c r="H2273" s="18">
        <f t="shared" si="2167"/>
        <v>3.1093470319970621E-2</v>
      </c>
      <c r="I2273" s="18">
        <f t="shared" si="2167"/>
        <v>0.21292124627682568</v>
      </c>
      <c r="J2273" s="18">
        <f t="shared" si="2167"/>
        <v>0.64362118587518002</v>
      </c>
      <c r="K2273" s="18">
        <f t="shared" si="2167"/>
        <v>0.43475911995004607</v>
      </c>
      <c r="L2273" s="18">
        <f t="shared" ref="L2273" si="2168">SUM(L2274:L2275)</f>
        <v>0.60198492020887295</v>
      </c>
      <c r="N2273" s="1"/>
    </row>
    <row r="2274" spans="2:14" x14ac:dyDescent="0.35">
      <c r="B2274" s="5" t="str">
        <f t="shared" si="2160"/>
        <v>SPS1</v>
      </c>
      <c r="C2274" s="5" t="str">
        <f t="shared" si="2161"/>
        <v>CH</v>
      </c>
      <c r="D2274" t="s">
        <v>2408</v>
      </c>
      <c r="E2274" t="str">
        <f t="shared" si="2162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0.20275052048390199</v>
      </c>
      <c r="H2274" s="1" cm="1">
        <f t="array" ref="H2274">SUMPRODUCT(([1]OUT_FinalEnergyCons!$B$4:$B$10000="var_ncap")*1,  (ISNUMBER(SEARCH("ITOT-SWHELCBR",[1]OUT_FinalEnergyCons!$A$4:$A$10000)))*1,[1]OUT_FinalEnergyCons!F$4:F$10000)</f>
        <v>3.10817300720851E-2</v>
      </c>
      <c r="I2274" s="1" cm="1">
        <f t="array" ref="I2274">SUMPRODUCT(([1]OUT_FinalEnergyCons!$B$4:$B$10000="var_ncap")*1,  (ISNUMBER(SEARCH("ITOT-SWHELCBR",[1]OUT_FinalEnergyCons!$A$4:$A$10000)))*1,[1]OUT_FinalEnergyCons!G$4:G$10000)</f>
        <v>7.2402965627215696E-2</v>
      </c>
      <c r="J2274" s="1" cm="1">
        <f t="array" ref="J2274">SUMPRODUCT(([2]OUT_FinalEnergyCons!$B$4:$B$10000="var_ncap")*1,  (ISNUMBER(SEARCH("ITOT-SWHELCBR",[2]OUT_FinalEnergyCons!$A$4:$A$10000)))*1,[2]OUT_FinalEnergyCons!H$4:H$10000)</f>
        <v>0.49944935761603099</v>
      </c>
      <c r="K2274" s="1" cm="1">
        <f t="array" ref="K2274">SUMPRODUCT(([2]OUT_FinalEnergyCons!$B$4:$B$10000="var_ncap")*1,  (ISNUMBER(SEARCH("ITOT-SWHELCBR",[2]OUT_FinalEnergyCons!$A$4:$A$10000)))*1,[2]OUT_FinalEnergyCons!I$4:I$10000)</f>
        <v>0.37446022477747998</v>
      </c>
      <c r="L2274" s="1" cm="1">
        <f t="array" ref="L2274">SUMPRODUCT(([2]OUT_FinalEnergyCons!$B$4:$B$10000="var_ncap")*1,  (ISNUMBER(SEARCH("ITOT-SWHELCBR",[2]OUT_FinalEnergyCons!$A$4:$A$10000)))*1,[2]OUT_FinalEnergyCons!J$4:J$10000)</f>
        <v>0.43033814587369901</v>
      </c>
      <c r="N2274" s="1"/>
    </row>
    <row r="2275" spans="2:14" x14ac:dyDescent="0.35">
      <c r="B2275" s="5" t="str">
        <f t="shared" si="2160"/>
        <v>SPS1</v>
      </c>
      <c r="C2275" s="5" t="str">
        <f t="shared" si="2161"/>
        <v>CH</v>
      </c>
      <c r="D2275" t="s">
        <v>2409</v>
      </c>
      <c r="E2275" t="str">
        <f t="shared" si="2162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1.59540554301748E-2</v>
      </c>
      <c r="H2275" s="1" cm="1">
        <f t="array" ref="H2275">SUMPRODUCT(([1]OUT_FinalEnergyCons!$B$4:$B$10000="var_ncap")*1,  (ISNUMBER(SEARCH("ITOT-SWHELCHP",[1]OUT_FinalEnergyCons!$A$4:$A$10000)))*1,[1]OUT_FinalEnergyCons!F$4:F$10000)</f>
        <v>1.1740247885521399E-5</v>
      </c>
      <c r="I2275" s="1" cm="1">
        <f t="array" ref="I2275">SUMPRODUCT(([1]OUT_FinalEnergyCons!$B$4:$B$10000="var_ncap")*1,  (ISNUMBER(SEARCH("ITOT-SWHELCHP",[1]OUT_FinalEnergyCons!$A$4:$A$10000)))*1,[1]OUT_FinalEnergyCons!G$4:G$10000)</f>
        <v>0.14051828064961</v>
      </c>
      <c r="J2275" s="1" cm="1">
        <f t="array" ref="J2275">SUMPRODUCT(([2]OUT_FinalEnergyCons!$B$4:$B$10000="var_ncap")*1,  (ISNUMBER(SEARCH("ITOT-SWHELCHP",[2]OUT_FinalEnergyCons!$A$4:$A$10000)))*1,[2]OUT_FinalEnergyCons!H$4:H$10000)</f>
        <v>0.14417182825914901</v>
      </c>
      <c r="K2275" s="1" cm="1">
        <f t="array" ref="K2275">SUMPRODUCT(([2]OUT_FinalEnergyCons!$B$4:$B$10000="var_ncap")*1,  (ISNUMBER(SEARCH("ITOT-SWHELCHP",[2]OUT_FinalEnergyCons!$A$4:$A$10000)))*1,[2]OUT_FinalEnergyCons!I$4:I$10000)</f>
        <v>6.0298895172566098E-2</v>
      </c>
      <c r="L2275" s="1" cm="1">
        <f t="array" ref="L2275">SUMPRODUCT(([2]OUT_FinalEnergyCons!$B$4:$B$10000="var_ncap")*1,  (ISNUMBER(SEARCH("ITOT-SWHELCHP",[2]OUT_FinalEnergyCons!$A$4:$A$10000)))*1,[2]OUT_FinalEnergyCons!J$4:J$10000)</f>
        <v>0.171646774335174</v>
      </c>
      <c r="N2275" s="1"/>
    </row>
    <row r="2276" spans="2:14" x14ac:dyDescent="0.35">
      <c r="B2276" s="5" t="str">
        <f t="shared" si="2160"/>
        <v>SPS1</v>
      </c>
      <c r="C2276" s="5" t="str">
        <f t="shared" si="2161"/>
        <v>CH</v>
      </c>
      <c r="D2276" t="s">
        <v>2410</v>
      </c>
      <c r="E2276" t="str">
        <f t="shared" si="2162"/>
        <v>GWth/yr.</v>
      </c>
      <c r="F2276" s="18">
        <f t="shared" ref="F2276:K2276" si="2169">SUM(F2277:F2278)</f>
        <v>2.9589230913600799E-4</v>
      </c>
      <c r="G2276" s="18">
        <f t="shared" si="2169"/>
        <v>6.9342214214911625E-5</v>
      </c>
      <c r="H2276" s="18">
        <f t="shared" si="2169"/>
        <v>1.0418207662739321E-5</v>
      </c>
      <c r="I2276" s="18">
        <f t="shared" si="2169"/>
        <v>1.5930772451779259E-5</v>
      </c>
      <c r="J2276" s="18">
        <f t="shared" si="2169"/>
        <v>0.16744672369052924</v>
      </c>
      <c r="K2276" s="18">
        <f t="shared" si="2169"/>
        <v>8.2036576865976003E-6</v>
      </c>
      <c r="L2276" s="18">
        <f t="shared" ref="L2276" si="2170">SUM(L2277:L2278)</f>
        <v>1.3326939227821231E-6</v>
      </c>
      <c r="N2276" s="1"/>
    </row>
    <row r="2277" spans="2:14" x14ac:dyDescent="0.35">
      <c r="B2277" s="5" t="str">
        <f t="shared" si="2160"/>
        <v>SPS1</v>
      </c>
      <c r="C2277" s="5" t="str">
        <f t="shared" si="2161"/>
        <v>CH</v>
      </c>
      <c r="D2277" t="s">
        <v>2411</v>
      </c>
      <c r="E2277" t="str">
        <f t="shared" si="2162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6.0453815571086603E-5</v>
      </c>
      <c r="H2277" s="1" cm="1">
        <f t="array" ref="H2277">SUMPRODUCT(([1]OUT_FinalEnergyCons!$B$4:$B$10000="var_ncap")*1,  (ISNUMBER(SEARCH("ITOT-SWHLFOBR",[1]OUT_FinalEnergyCons!$A$4:$A$10000)))*1,[1]OUT_FinalEnergyCons!F$4:F$10000)</f>
        <v>6.9291597729050401E-6</v>
      </c>
      <c r="I2277" s="1" cm="1">
        <f t="array" ref="I2277">SUMPRODUCT(([1]OUT_FinalEnergyCons!$B$4:$B$10000="var_ncap")*1,  (ISNUMBER(SEARCH("ITOT-SWHLFOBR",[1]OUT_FinalEnergyCons!$A$4:$A$10000)))*1,[1]OUT_FinalEnergyCons!G$4:G$10000)</f>
        <v>1.04053938688292E-5</v>
      </c>
      <c r="J2277" s="1" cm="1">
        <f t="array" ref="J2277">SUMPRODUCT(([2]OUT_FinalEnergyCons!$B$4:$B$10000="var_ncap")*1,  (ISNUMBER(SEARCH("ITOT-SWHLFOBR",[2]OUT_FinalEnergyCons!$A$4:$A$10000)))*1,[2]OUT_FinalEnergyCons!H$4:H$10000)</f>
        <v>0.16743750900619001</v>
      </c>
      <c r="K2277" s="1" cm="1">
        <f t="array" ref="K2277">SUMPRODUCT(([2]OUT_FinalEnergyCons!$B$4:$B$10000="var_ncap")*1,  (ISNUMBER(SEARCH("ITOT-SWHLFOBR",[2]OUT_FinalEnergyCons!$A$4:$A$10000)))*1,[2]OUT_FinalEnergyCons!I$4:I$10000)</f>
        <v>7.1283864861982401E-6</v>
      </c>
      <c r="L2277" s="1" cm="1">
        <f t="array" ref="L2277">SUMPRODUCT(([2]OUT_FinalEnergyCons!$B$4:$B$10000="var_ncap")*1,  (ISNUMBER(SEARCH("ITOT-SWHLFOBR",[2]OUT_FinalEnergyCons!$A$4:$A$10000)))*1,[2]OUT_FinalEnergyCons!J$4:J$10000)</f>
        <v>8.1445686935795604E-7</v>
      </c>
      <c r="N2277" s="1"/>
    </row>
    <row r="2278" spans="2:14" x14ac:dyDescent="0.35">
      <c r="B2278" s="5" t="str">
        <f t="shared" si="2160"/>
        <v>SPS1</v>
      </c>
      <c r="C2278" s="5" t="str">
        <f t="shared" si="2161"/>
        <v>CH</v>
      </c>
      <c r="D2278" t="s">
        <v>2412</v>
      </c>
      <c r="E2278" t="str">
        <f t="shared" si="2162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2.9589230913600799E-4</v>
      </c>
      <c r="G2278" s="1" cm="1">
        <f t="array" ref="G2278">SUMPRODUCT(([1]OUT_FinalEnergyCons!$B$4:$B$10000="var_ncap")*1,  (ISNUMBER(SEARCH("ITOT-SWHHFOBR",[1]OUT_FinalEnergyCons!$A$4:$A$10000)))*1,[1]OUT_FinalEnergyCons!E$4:E$10000)</f>
        <v>8.8883986438250208E-6</v>
      </c>
      <c r="H2278" s="1" cm="1">
        <f t="array" ref="H2278">SUMPRODUCT(([1]OUT_FinalEnergyCons!$B$4:$B$10000="var_ncap")*1,  (ISNUMBER(SEARCH("ITOT-SWHHFOBR",[1]OUT_FinalEnergyCons!$A$4:$A$10000)))*1,[1]OUT_FinalEnergyCons!F$4:F$10000)</f>
        <v>3.48904788983428E-6</v>
      </c>
      <c r="I2278" s="1" cm="1">
        <f t="array" ref="I2278">SUMPRODUCT(([1]OUT_FinalEnergyCons!$B$4:$B$10000="var_ncap")*1,  (ISNUMBER(SEARCH("ITOT-SWHHFOBR",[1]OUT_FinalEnergyCons!$A$4:$A$10000)))*1,[1]OUT_FinalEnergyCons!G$4:G$10000)</f>
        <v>5.5253785829500602E-6</v>
      </c>
      <c r="J2278" s="1" cm="1">
        <f t="array" ref="J2278">SUMPRODUCT(([2]OUT_FinalEnergyCons!$B$4:$B$10000="var_ncap")*1,  (ISNUMBER(SEARCH("ITOT-SWHHFOBR",[2]OUT_FinalEnergyCons!$A$4:$A$10000)))*1,[2]OUT_FinalEnergyCons!H$4:H$10000)</f>
        <v>9.2146843392323294E-6</v>
      </c>
      <c r="K2278" s="1" cm="1">
        <f t="array" ref="K2278">SUMPRODUCT(([2]OUT_FinalEnergyCons!$B$4:$B$10000="var_ncap")*1,  (ISNUMBER(SEARCH("ITOT-SWHHFOBR",[2]OUT_FinalEnergyCons!$A$4:$A$10000)))*1,[2]OUT_FinalEnergyCons!I$4:I$10000)</f>
        <v>1.07527120039936E-6</v>
      </c>
      <c r="L2278" s="1" cm="1">
        <f t="array" ref="L2278">SUMPRODUCT(([2]OUT_FinalEnergyCons!$B$4:$B$10000="var_ncap")*1,  (ISNUMBER(SEARCH("ITOT-SWHHFOBR",[2]OUT_FinalEnergyCons!$A$4:$A$10000)))*1,[2]OUT_FinalEnergyCons!J$4:J$10000)</f>
        <v>5.1823705342416701E-7</v>
      </c>
      <c r="N2278" s="1"/>
    </row>
    <row r="2279" spans="2:14" x14ac:dyDescent="0.35">
      <c r="B2279" s="5" t="str">
        <f t="shared" si="2160"/>
        <v>SPS1</v>
      </c>
      <c r="C2279" s="5" t="str">
        <f t="shared" si="2161"/>
        <v>CH</v>
      </c>
      <c r="D2279" t="s">
        <v>2413</v>
      </c>
      <c r="E2279" t="str">
        <f t="shared" si="2162"/>
        <v>GWth/yr.</v>
      </c>
      <c r="F2279" s="18">
        <f t="shared" ref="F2279:K2279" si="2171">SUM(F2280:F2281)</f>
        <v>0</v>
      </c>
      <c r="G2279" s="18">
        <f t="shared" si="2171"/>
        <v>1.4943386739978597E-3</v>
      </c>
      <c r="H2279" s="18">
        <f t="shared" si="2171"/>
        <v>2.3552119877444618E-5</v>
      </c>
      <c r="I2279" s="18">
        <f t="shared" si="2171"/>
        <v>8.1935591493656799E-6</v>
      </c>
      <c r="J2279" s="18">
        <f t="shared" si="2171"/>
        <v>0.91529611294328994</v>
      </c>
      <c r="K2279" s="18">
        <f t="shared" si="2171"/>
        <v>0.46741650996094575</v>
      </c>
      <c r="L2279" s="18">
        <f t="shared" ref="L2279" si="2172">SUM(L2280:L2281)</f>
        <v>0.68098988862625498</v>
      </c>
      <c r="N2279" s="1"/>
    </row>
    <row r="2280" spans="2:14" x14ac:dyDescent="0.35">
      <c r="B2280" s="5" t="str">
        <f t="shared" si="2160"/>
        <v>SPS1</v>
      </c>
      <c r="C2280" s="5" t="str">
        <f t="shared" si="2161"/>
        <v>CH</v>
      </c>
      <c r="D2280" t="s">
        <v>2414</v>
      </c>
      <c r="E2280" t="str">
        <f t="shared" si="2162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7.00391732101976E-6</v>
      </c>
      <c r="H2280" s="1" cm="1">
        <f t="array" ref="H2280">SUMPRODUCT(([1]OUT_FinalEnergyCons!$B$4:$B$10000="var_ncap")*1,  (ISNUMBER(SEARCH("ITOT-SWHNGA*BR",[1]OUT_FinalEnergyCons!$A$4:$A$10000)))*1,[1]OUT_FinalEnergyCons!F$4:F$10000)</f>
        <v>3.93061074108852E-6</v>
      </c>
      <c r="I2280" s="1" cm="1">
        <f t="array" ref="I2280">SUMPRODUCT(([1]OUT_FinalEnergyCons!$B$4:$B$10000="var_ncap")*1,  (ISNUMBER(SEARCH("ITOT-SWHNGA*BR",[1]OUT_FinalEnergyCons!$A$4:$A$10000)))*1,[1]OUT_FinalEnergyCons!G$4:G$10000)</f>
        <v>3.9616665695531497E-6</v>
      </c>
      <c r="J2280" s="1" cm="1">
        <f t="array" ref="J2280">SUMPRODUCT(([2]OUT_FinalEnergyCons!$B$4:$B$10000="var_ncap")*1,  (ISNUMBER(SEARCH("ITOT-SWHNGA*BR",[2]OUT_FinalEnergyCons!$A$4:$A$10000)))*1,[2]OUT_FinalEnergyCons!H$4:H$10000)</f>
        <v>0.91529454577607094</v>
      </c>
      <c r="K2280" s="1" cm="1">
        <f t="array" ref="K2280">SUMPRODUCT(([2]OUT_FinalEnergyCons!$B$4:$B$10000="var_ncap")*1,  (ISNUMBER(SEARCH("ITOT-SWHNGA*BR",[2]OUT_FinalEnergyCons!$A$4:$A$10000)))*1,[2]OUT_FinalEnergyCons!I$4:I$10000)</f>
        <v>0.467168031473918</v>
      </c>
      <c r="L2280" s="1" cm="1">
        <f t="array" ref="L2280">SUMPRODUCT(([2]OUT_FinalEnergyCons!$B$4:$B$10000="var_ncap")*1,  (ISNUMBER(SEARCH("ITOT-SWHNGA*BR",[2]OUT_FinalEnergyCons!$A$4:$A$10000)))*1,[2]OUT_FinalEnergyCons!J$4:J$10000)</f>
        <v>0.68090750981436299</v>
      </c>
      <c r="N2280" s="1"/>
    </row>
    <row r="2281" spans="2:14" x14ac:dyDescent="0.35">
      <c r="B2281" s="5" t="str">
        <f t="shared" si="2160"/>
        <v>SPS1</v>
      </c>
      <c r="C2281" s="5" t="str">
        <f t="shared" si="2161"/>
        <v>CH</v>
      </c>
      <c r="D2281" t="s">
        <v>2415</v>
      </c>
      <c r="E2281" t="str">
        <f t="shared" si="2162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1.48733475667684E-3</v>
      </c>
      <c r="H2281" s="1" cm="1">
        <f t="array" ref="H2281">SUMPRODUCT(([1]OUT_FinalEnergyCons!$B$4:$B$10000="var_ncap")*1,  (ISNUMBER(SEARCH("ITOT-SWHNGAHP",[1]OUT_FinalEnergyCons!$A$4:$A$10000)))*1,[1]OUT_FinalEnergyCons!F$4:F$10000)</f>
        <v>1.9621509136356099E-5</v>
      </c>
      <c r="I2281" s="1" cm="1">
        <f t="array" ref="I2281">SUMPRODUCT(([1]OUT_FinalEnergyCons!$B$4:$B$10000="var_ncap")*1,  (ISNUMBER(SEARCH("ITOT-SWHNGAHP",[1]OUT_FinalEnergyCons!$A$4:$A$10000)))*1,[1]OUT_FinalEnergyCons!G$4:G$10000)</f>
        <v>4.2318925798125303E-6</v>
      </c>
      <c r="J2281" s="1" cm="1">
        <f t="array" ref="J2281">SUMPRODUCT(([2]OUT_FinalEnergyCons!$B$4:$B$10000="var_ncap")*1,  (ISNUMBER(SEARCH("ITOT-SWHNGAHP",[2]OUT_FinalEnergyCons!$A$4:$A$10000)))*1,[2]OUT_FinalEnergyCons!H$4:H$10000)</f>
        <v>1.5671672190434901E-6</v>
      </c>
      <c r="K2281" s="1" cm="1">
        <f t="array" ref="K2281">SUMPRODUCT(([2]OUT_FinalEnergyCons!$B$4:$B$10000="var_ncap")*1,  (ISNUMBER(SEARCH("ITOT-SWHNGAHP",[2]OUT_FinalEnergyCons!$A$4:$A$10000)))*1,[2]OUT_FinalEnergyCons!I$4:I$10000)</f>
        <v>2.4847848702775098E-4</v>
      </c>
      <c r="L2281" s="1" cm="1">
        <f t="array" ref="L2281">SUMPRODUCT(([2]OUT_FinalEnergyCons!$B$4:$B$10000="var_ncap")*1,  (ISNUMBER(SEARCH("ITOT-SWHNGAHP",[2]OUT_FinalEnergyCons!$A$4:$A$10000)))*1,[2]OUT_FinalEnergyCons!J$4:J$10000)</f>
        <v>8.2378811891984405E-5</v>
      </c>
      <c r="N2281" s="1"/>
    </row>
    <row r="2282" spans="2:14" x14ac:dyDescent="0.35">
      <c r="B2282" s="5" t="str">
        <f t="shared" si="2160"/>
        <v>SPS1</v>
      </c>
      <c r="C2282" s="5" t="str">
        <f t="shared" si="2161"/>
        <v>CH</v>
      </c>
      <c r="D2282" t="s">
        <v>2416</v>
      </c>
      <c r="E2282" t="str">
        <f t="shared" si="2162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1.6895326571887501E-2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3.8920840927460801E-2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0.10682856659154701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0.25672329643401598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0.104363595428029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0.19492765457098599</v>
      </c>
      <c r="N2282" s="1"/>
    </row>
    <row r="2283" spans="2:14" x14ac:dyDescent="0.35">
      <c r="B2283" s="5" t="str">
        <f t="shared" si="2160"/>
        <v>SPS1</v>
      </c>
      <c r="C2283" s="5" t="str">
        <f t="shared" si="2161"/>
        <v>CH</v>
      </c>
      <c r="D2283" t="s">
        <v>2417</v>
      </c>
      <c r="E2283" t="str">
        <f t="shared" si="2162"/>
        <v>GWth/yr.</v>
      </c>
      <c r="F2283" s="1">
        <f t="shared" ref="F2283:L2283" si="2173">F2284</f>
        <v>0</v>
      </c>
      <c r="G2283" s="1">
        <f t="shared" si="2173"/>
        <v>1.28427925826466E-6</v>
      </c>
      <c r="H2283" s="1">
        <f t="shared" si="2173"/>
        <v>2.1003464287539401E-6</v>
      </c>
      <c r="I2283" s="1">
        <f t="shared" si="2173"/>
        <v>2.9477176077407199E-6</v>
      </c>
      <c r="J2283" s="1">
        <f t="shared" si="2173"/>
        <v>8.2601351351848099E-6</v>
      </c>
      <c r="K2283" s="1">
        <f t="shared" si="2173"/>
        <v>8.6995537510456499E-7</v>
      </c>
      <c r="L2283" s="1">
        <f t="shared" si="2173"/>
        <v>1.6114223670744098E-5</v>
      </c>
      <c r="N2283" s="1"/>
    </row>
    <row r="2284" spans="2:14" x14ac:dyDescent="0.35">
      <c r="B2284" s="5" t="str">
        <f t="shared" si="2160"/>
        <v>SPS1</v>
      </c>
      <c r="C2284" s="5" t="str">
        <f t="shared" si="2161"/>
        <v>CH</v>
      </c>
      <c r="D2284" t="s">
        <v>2418</v>
      </c>
      <c r="E2284" t="str">
        <f t="shared" si="2162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1.28427925826466E-6</v>
      </c>
      <c r="H2284" s="1" cm="1">
        <f t="array" ref="H2284">SUMPRODUCT(([1]OUT_FinalEnergyCons!$B$4:$B$10000="var_ncap")*1,  (ISNUMBER(SEARCH("ITOT-SWHCOA*BR",[1]OUT_FinalEnergyCons!$A$4:$A$10000)))*1,[1]OUT_FinalEnergyCons!F$4:F$10000)</f>
        <v>2.1003464287539401E-6</v>
      </c>
      <c r="I2284" s="1" cm="1">
        <f t="array" ref="I2284">SUMPRODUCT(([1]OUT_FinalEnergyCons!$B$4:$B$10000="var_ncap")*1,  (ISNUMBER(SEARCH("ITOT-SWHCOA*BR",[1]OUT_FinalEnergyCons!$A$4:$A$10000)))*1,[1]OUT_FinalEnergyCons!G$4:G$10000)</f>
        <v>2.9477176077407199E-6</v>
      </c>
      <c r="J2284" s="1" cm="1">
        <f t="array" ref="J2284">SUMPRODUCT(([2]OUT_FinalEnergyCons!$B$4:$B$10000="var_ncap")*1,  (ISNUMBER(SEARCH("ITOT-SWHCOA*BR",[2]OUT_FinalEnergyCons!$A$4:$A$10000)))*1,[2]OUT_FinalEnergyCons!H$4:H$10000)</f>
        <v>8.2601351351848099E-6</v>
      </c>
      <c r="K2284" s="1" cm="1">
        <f t="array" ref="K2284">SUMPRODUCT(([2]OUT_FinalEnergyCons!$B$4:$B$10000="var_ncap")*1,  (ISNUMBER(SEARCH("ITOT-SWHCOA*BR",[2]OUT_FinalEnergyCons!$A$4:$A$10000)))*1,[2]OUT_FinalEnergyCons!I$4:I$10000)</f>
        <v>8.6995537510456499E-7</v>
      </c>
      <c r="L2284" s="1" cm="1">
        <f t="array" ref="L2284">SUMPRODUCT(([2]OUT_FinalEnergyCons!$B$4:$B$10000="var_ncap")*1,  (ISNUMBER(SEARCH("ITOT-SWHCOA*BR",[2]OUT_FinalEnergyCons!$A$4:$A$10000)))*1,[2]OUT_FinalEnergyCons!J$4:J$10000)</f>
        <v>1.6114223670744098E-5</v>
      </c>
      <c r="N2284" s="1"/>
    </row>
    <row r="2285" spans="2:14" x14ac:dyDescent="0.35">
      <c r="B2285" s="5" t="str">
        <f t="shared" si="2160"/>
        <v>SPS1</v>
      </c>
      <c r="C2285" s="5" t="str">
        <f t="shared" si="2161"/>
        <v>CH</v>
      </c>
      <c r="D2285" t="s">
        <v>2419</v>
      </c>
      <c r="E2285" t="str">
        <f t="shared" si="2162"/>
        <v>GWth/yr.</v>
      </c>
      <c r="F2285" s="1">
        <f t="shared" ref="F2285:L2285" si="2174">F2286</f>
        <v>0</v>
      </c>
      <c r="G2285" s="1">
        <f t="shared" si="2174"/>
        <v>5.2092799817689897E-2</v>
      </c>
      <c r="H2285" s="1">
        <f t="shared" si="2174"/>
        <v>1.07882078183264E-6</v>
      </c>
      <c r="I2285" s="1">
        <f t="shared" si="2174"/>
        <v>1.8536181843786E-6</v>
      </c>
      <c r="J2285" s="1">
        <f t="shared" si="2174"/>
        <v>0.23520261331098999</v>
      </c>
      <c r="K2285" s="1">
        <f t="shared" si="2174"/>
        <v>0.105221915572903</v>
      </c>
      <c r="L2285" s="1">
        <f t="shared" si="2174"/>
        <v>0.20386545427660599</v>
      </c>
      <c r="N2285" s="1"/>
    </row>
    <row r="2286" spans="2:14" x14ac:dyDescent="0.35">
      <c r="B2286" s="5" t="str">
        <f t="shared" si="2160"/>
        <v>SPS1</v>
      </c>
      <c r="C2286" s="5" t="str">
        <f t="shared" si="2161"/>
        <v>CH</v>
      </c>
      <c r="D2286" t="s">
        <v>2420</v>
      </c>
      <c r="E2286" t="str">
        <f t="shared" si="2162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5.2092799817689897E-2</v>
      </c>
      <c r="H2286" s="1" cm="1">
        <f t="array" ref="H2286">SUMPRODUCT(([1]OUT_FinalEnergyCons!$B$4:$B$10000="var_ncap")*1,  (ISNUMBER(SEARCH("ITOT-SWHWOD*BR",[1]OUT_FinalEnergyCons!$A$4:$A$10000)))*1,[1]OUT_FinalEnergyCons!F$4:F$10000)</f>
        <v>1.07882078183264E-6</v>
      </c>
      <c r="I2286" s="1" cm="1">
        <f t="array" ref="I2286">SUMPRODUCT(([1]OUT_FinalEnergyCons!$B$4:$B$10000="var_ncap")*1,  (ISNUMBER(SEARCH("ITOT-SWHWOD*BR",[1]OUT_FinalEnergyCons!$A$4:$A$10000)))*1,[1]OUT_FinalEnergyCons!G$4:G$10000)</f>
        <v>1.8536181843786E-6</v>
      </c>
      <c r="J2286" s="1" cm="1">
        <f t="array" ref="J2286">SUMPRODUCT(([2]OUT_FinalEnergyCons!$B$4:$B$10000="var_ncap")*1,  (ISNUMBER(SEARCH("ITOT-SWHWOD*BR",[2]OUT_FinalEnergyCons!$A$4:$A$10000)))*1,[2]OUT_FinalEnergyCons!H$4:H$10000)</f>
        <v>0.23520261331098999</v>
      </c>
      <c r="K2286" s="1" cm="1">
        <f t="array" ref="K2286">SUMPRODUCT(([2]OUT_FinalEnergyCons!$B$4:$B$10000="var_ncap")*1,  (ISNUMBER(SEARCH("ITOT-SWHWOD*BR",[2]OUT_FinalEnergyCons!$A$4:$A$10000)))*1,[2]OUT_FinalEnergyCons!I$4:I$10000)</f>
        <v>0.105221915572903</v>
      </c>
      <c r="L2286" s="1" cm="1">
        <f t="array" ref="L2286">SUMPRODUCT(([2]OUT_FinalEnergyCons!$B$4:$B$10000="var_ncap")*1,  (ISNUMBER(SEARCH("ITOT-SWHWOD*BR",[2]OUT_FinalEnergyCons!$A$4:$A$10000)))*1,[2]OUT_FinalEnergyCons!J$4:J$10000)</f>
        <v>0.20386545427660599</v>
      </c>
      <c r="N2286" s="1"/>
    </row>
    <row r="2287" spans="2:14" x14ac:dyDescent="0.35">
      <c r="B2287" s="5" t="str">
        <f t="shared" si="2160"/>
        <v>SPS1</v>
      </c>
      <c r="C2287" s="5" t="str">
        <f t="shared" si="2161"/>
        <v>CH</v>
      </c>
      <c r="D2287" t="s">
        <v>2421</v>
      </c>
      <c r="E2287" t="str">
        <f t="shared" si="2162"/>
        <v>GWth/yr.</v>
      </c>
      <c r="F2287" s="1">
        <f t="shared" ref="F2287:L2287" si="2175">F2288</f>
        <v>0</v>
      </c>
      <c r="G2287" s="1">
        <f t="shared" si="2175"/>
        <v>8.1169115802483104E-3</v>
      </c>
      <c r="H2287" s="1">
        <f t="shared" si="2175"/>
        <v>6.1354817551694997E-6</v>
      </c>
      <c r="I2287" s="1">
        <f t="shared" si="2175"/>
        <v>2.06595145332969E-6</v>
      </c>
      <c r="J2287" s="1">
        <f t="shared" si="2175"/>
        <v>2.8305823907287499E-2</v>
      </c>
      <c r="K2287" s="1">
        <f t="shared" si="2175"/>
        <v>1.25214931095038E-2</v>
      </c>
      <c r="L2287" s="1">
        <f t="shared" si="2175"/>
        <v>1.9617738381008599E-2</v>
      </c>
      <c r="N2287" s="1"/>
    </row>
    <row r="2288" spans="2:14" x14ac:dyDescent="0.35">
      <c r="B2288" s="5" t="str">
        <f t="shared" si="2160"/>
        <v>SPS1</v>
      </c>
      <c r="C2288" s="5" t="str">
        <f t="shared" si="2161"/>
        <v>CH</v>
      </c>
      <c r="D2288" t="s">
        <v>2422</v>
      </c>
      <c r="E2288" t="str">
        <f t="shared" si="2162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8.1169115802483104E-3</v>
      </c>
      <c r="H2288" s="1" cm="1">
        <f t="array" ref="H2288">SUMPRODUCT(([1]OUT_FinalEnergyCons!$B$4:$B$10000="var_ncap")*1,  (ISNUMBER(SEARCH("ITOT-SWHPLT*BR",[1]OUT_FinalEnergyCons!$A$4:$A$10000)))*1,[1]OUT_FinalEnergyCons!F$4:F$10000)</f>
        <v>6.1354817551694997E-6</v>
      </c>
      <c r="I2288" s="1" cm="1">
        <f t="array" ref="I2288">SUMPRODUCT(([1]OUT_FinalEnergyCons!$B$4:$B$10000="var_ncap")*1,  (ISNUMBER(SEARCH("ITOT-SWHPLT*BR",[1]OUT_FinalEnergyCons!$A$4:$A$10000)))*1,[1]OUT_FinalEnergyCons!G$4:G$10000)</f>
        <v>2.06595145332969E-6</v>
      </c>
      <c r="J2288" s="1" cm="1">
        <f t="array" ref="J2288">SUMPRODUCT(([2]OUT_FinalEnergyCons!$B$4:$B$10000="var_ncap")*1,  (ISNUMBER(SEARCH("ITOT-SWHPLT*BR",[2]OUT_FinalEnergyCons!$A$4:$A$10000)))*1,[2]OUT_FinalEnergyCons!H$4:H$10000)</f>
        <v>2.8305823907287499E-2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1.25214931095038E-2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1.9617738381008599E-2</v>
      </c>
      <c r="N2288" s="1"/>
    </row>
    <row r="2289" spans="2:14" x14ac:dyDescent="0.35">
      <c r="B2289" s="5" t="str">
        <f t="shared" si="2160"/>
        <v>SPS1</v>
      </c>
      <c r="C2289" s="5" t="str">
        <f t="shared" si="2161"/>
        <v>CH</v>
      </c>
      <c r="D2289" t="s">
        <v>2423</v>
      </c>
      <c r="E2289" t="str">
        <f t="shared" si="2162"/>
        <v>GWth/yr.</v>
      </c>
      <c r="F2289" s="1">
        <f t="shared" ref="F2289:L2289" si="2176">F2290</f>
        <v>0</v>
      </c>
      <c r="G2289" s="1">
        <f t="shared" si="2176"/>
        <v>1.4492271491925E-6</v>
      </c>
      <c r="H2289" s="1">
        <f t="shared" si="2176"/>
        <v>1.7928553444033201E-6</v>
      </c>
      <c r="I2289" s="1">
        <f t="shared" si="2176"/>
        <v>2.1562880335145002E-6</v>
      </c>
      <c r="J2289" s="1">
        <f t="shared" si="2176"/>
        <v>0.221989483717866</v>
      </c>
      <c r="K2289" s="1">
        <f t="shared" si="2176"/>
        <v>9.0933206093487901E-2</v>
      </c>
      <c r="L2289" s="1">
        <f t="shared" si="2176"/>
        <v>0.204736442849068</v>
      </c>
      <c r="N2289" s="1"/>
    </row>
    <row r="2290" spans="2:14" x14ac:dyDescent="0.35">
      <c r="B2290" s="5" t="str">
        <f t="shared" si="2160"/>
        <v>SPS1</v>
      </c>
      <c r="C2290" s="5" t="str">
        <f t="shared" si="2161"/>
        <v>CH</v>
      </c>
      <c r="D2290" t="s">
        <v>2424</v>
      </c>
      <c r="E2290" t="str">
        <f t="shared" si="2162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1.4492271491925E-6</v>
      </c>
      <c r="H2290" s="1" cm="1">
        <f t="array" ref="H2290">SUMPRODUCT(([1]OUT_FinalEnergyCons!$B$4:$B$10000="var_ncap")*1,  (ISNUMBER(SEARCH("ITOT-SWHWST*BR",[1]OUT_FinalEnergyCons!$A$4:$A$10000)))*1,[1]OUT_FinalEnergyCons!F$4:F$10000)</f>
        <v>1.7928553444033201E-6</v>
      </c>
      <c r="I2290" s="1" cm="1">
        <f t="array" ref="I2290">SUMPRODUCT(([1]OUT_FinalEnergyCons!$B$4:$B$10000="var_ncap")*1,  (ISNUMBER(SEARCH("ITOT-SWHWST*BR",[1]OUT_FinalEnergyCons!$A$4:$A$10000)))*1,[1]OUT_FinalEnergyCons!G$4:G$10000)</f>
        <v>2.1562880335145002E-6</v>
      </c>
      <c r="J2290" s="1" cm="1">
        <f t="array" ref="J2290">SUMPRODUCT(([2]OUT_FinalEnergyCons!$B$4:$B$10000="var_ncap")*1,  (ISNUMBER(SEARCH("ITOT-SWHWST*BR",[2]OUT_FinalEnergyCons!$A$4:$A$10000)))*1,[2]OUT_FinalEnergyCons!H$4:H$10000)</f>
        <v>0.221989483717866</v>
      </c>
      <c r="K2290" s="1" cm="1">
        <f t="array" ref="K2290">SUMPRODUCT(([2]OUT_FinalEnergyCons!$B$4:$B$10000="var_ncap")*1,  (ISNUMBER(SEARCH("ITOT-SWHWST*BR",[2]OUT_FinalEnergyCons!$A$4:$A$10000)))*1,[2]OUT_FinalEnergyCons!I$4:I$10000)</f>
        <v>9.0933206093487901E-2</v>
      </c>
      <c r="L2290" s="1" cm="1">
        <f t="array" ref="L2290">SUMPRODUCT(([2]OUT_FinalEnergyCons!$B$4:$B$10000="var_ncap")*1,  (ISNUMBER(SEARCH("ITOT-SWHWST*BR",[2]OUT_FinalEnergyCons!$A$4:$A$10000)))*1,[2]OUT_FinalEnergyCons!J$4:J$10000)</f>
        <v>0.204736442849068</v>
      </c>
      <c r="N2290" s="1"/>
    </row>
    <row r="2291" spans="2:14" x14ac:dyDescent="0.35">
      <c r="B2291" s="5" t="str">
        <f t="shared" si="2160"/>
        <v>SPS1</v>
      </c>
      <c r="C2291" s="5" t="str">
        <f t="shared" si="2161"/>
        <v>CH</v>
      </c>
      <c r="D2291" t="s">
        <v>2425</v>
      </c>
      <c r="E2291" t="str">
        <f t="shared" si="2162"/>
        <v>GWth/yr.</v>
      </c>
      <c r="F2291" s="1">
        <f t="shared" ref="F2291:L2291" si="2177">F2292</f>
        <v>0</v>
      </c>
      <c r="G2291" s="1">
        <f t="shared" si="2177"/>
        <v>2.6006272887123898E-3</v>
      </c>
      <c r="H2291" s="1">
        <f t="shared" si="2177"/>
        <v>2.2077889801471199E-8</v>
      </c>
      <c r="I2291" s="1">
        <f t="shared" si="2177"/>
        <v>2.2007489706106402E-8</v>
      </c>
      <c r="J2291" s="1">
        <f t="shared" si="2177"/>
        <v>8.5392976575891805E-3</v>
      </c>
      <c r="K2291" s="1">
        <f t="shared" si="2177"/>
        <v>3.8764606142943098E-3</v>
      </c>
      <c r="L2291" s="1">
        <f t="shared" si="2177"/>
        <v>5.98988242739441E-3</v>
      </c>
      <c r="N2291" s="1"/>
    </row>
    <row r="2292" spans="2:14" x14ac:dyDescent="0.35">
      <c r="B2292" s="5" t="str">
        <f t="shared" si="2160"/>
        <v>SPS1</v>
      </c>
      <c r="C2292" s="5" t="str">
        <f t="shared" si="2161"/>
        <v>CH</v>
      </c>
      <c r="D2292" t="s">
        <v>2426</v>
      </c>
      <c r="E2292" t="str">
        <f t="shared" si="2162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2.6006272887123898E-3</v>
      </c>
      <c r="H2292" s="1" cm="1">
        <f t="array" ref="H2292">SUMPRODUCT(([1]OUT_FinalEnergyCons!$B$4:$B$10000="var_ncap")*1, (ISNUMBER(SEARCH("ITOT-SWHSOLBR",[1]OUT_FinalEnergyCons!$A$4:$A$10000)))*1,[1]OUT_FinalEnergyCons!F$4:F$10000)</f>
        <v>2.2077889801471199E-8</v>
      </c>
      <c r="I2292" s="1" cm="1">
        <f t="array" ref="I2292">SUMPRODUCT(([1]OUT_FinalEnergyCons!$B$4:$B$10000="var_ncap")*1, (ISNUMBER(SEARCH("ITOT-SWHSOLBR",[1]OUT_FinalEnergyCons!$A$4:$A$10000)))*1,[1]OUT_FinalEnergyCons!G$4:G$10000)</f>
        <v>2.2007489706106402E-8</v>
      </c>
      <c r="J2292" s="1" cm="1">
        <f t="array" ref="J2292">SUMPRODUCT(([2]OUT_FinalEnergyCons!$B$4:$B$10000="var_ncap")*1, (ISNUMBER(SEARCH("ITOT-SWHSOLBR",[2]OUT_FinalEnergyCons!$A$4:$A$10000)))*1,[2]OUT_FinalEnergyCons!H$4:H$10000)</f>
        <v>8.5392976575891805E-3</v>
      </c>
      <c r="K2292" s="1" cm="1">
        <f t="array" ref="K2292">SUMPRODUCT(([2]OUT_FinalEnergyCons!$B$4:$B$10000="var_ncap")*1, (ISNUMBER(SEARCH("ITOT-SWHSOLBR",[2]OUT_FinalEnergyCons!$A$4:$A$10000)))*1,[2]OUT_FinalEnergyCons!I$4:I$10000)</f>
        <v>3.8764606142943098E-3</v>
      </c>
      <c r="L2292" s="1" cm="1">
        <f t="array" ref="L2292">SUMPRODUCT(([2]OUT_FinalEnergyCons!$B$4:$B$10000="var_ncap")*1, (ISNUMBER(SEARCH("ITOT-SWHSOLBR",[2]OUT_FinalEnergyCons!$A$4:$A$10000)))*1,[2]OUT_FinalEnergyCons!J$4:J$10000)</f>
        <v>5.98988242739441E-3</v>
      </c>
      <c r="N2292" s="1"/>
    </row>
    <row r="2293" spans="2:14" x14ac:dyDescent="0.35">
      <c r="B2293" s="5" t="str">
        <f t="shared" si="2160"/>
        <v>SPS1</v>
      </c>
      <c r="C2293" s="5" t="str">
        <f t="shared" si="2161"/>
        <v>CH</v>
      </c>
      <c r="D2293" t="s">
        <v>2427</v>
      </c>
      <c r="E2293" t="str">
        <f t="shared" si="2162"/>
        <v>GWth/yr.</v>
      </c>
      <c r="F2293" s="1">
        <f t="shared" ref="F2293:L2293" si="2178">F2294</f>
        <v>0</v>
      </c>
      <c r="G2293" s="1">
        <f t="shared" si="2178"/>
        <v>0</v>
      </c>
      <c r="H2293" s="1">
        <f t="shared" si="2178"/>
        <v>0</v>
      </c>
      <c r="I2293" s="1">
        <f t="shared" si="2178"/>
        <v>0</v>
      </c>
      <c r="J2293" s="1">
        <f t="shared" si="2178"/>
        <v>9.8577968319680205E-5</v>
      </c>
      <c r="K2293" s="1">
        <f t="shared" si="2178"/>
        <v>7.9140235648654498E-5</v>
      </c>
      <c r="L2293" s="1">
        <f t="shared" si="2178"/>
        <v>1.35268812463539E-2</v>
      </c>
      <c r="N2293" s="1"/>
    </row>
    <row r="2294" spans="2:14" x14ac:dyDescent="0.35">
      <c r="B2294" s="5" t="str">
        <f t="shared" si="2160"/>
        <v>SPS1</v>
      </c>
      <c r="C2294" s="5" t="str">
        <f t="shared" si="2161"/>
        <v>CH</v>
      </c>
      <c r="D2294" t="s">
        <v>2428</v>
      </c>
      <c r="E2294" t="str">
        <f t="shared" si="2162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9.8577968319680205E-5</v>
      </c>
      <c r="K2294" s="1" cm="1">
        <f t="array" ref="K2294">SUMPRODUCT(([2]OUT_FinalEnergyCons!$B$4:$B$10000="var_ncap")*1, (ISNUMBER(SEARCH("ITOT-SWHH2BR",[2]OUT_FinalEnergyCons!$A$4:$A$10000)))*1,[2]OUT_FinalEnergyCons!I$4:I$10000)</f>
        <v>7.9140235648654498E-5</v>
      </c>
      <c r="L2294" s="1" cm="1">
        <f t="array" ref="L2294">SUMPRODUCT(([2]OUT_FinalEnergyCons!$B$4:$B$10000="var_ncap")*1, (ISNUMBER(SEARCH("ITOT-SWHH2BR",[2]OUT_FinalEnergyCons!$A$4:$A$10000)))*1,[2]OUT_FinalEnergyCons!J$4:J$10000)</f>
        <v>1.35268812463539E-2</v>
      </c>
      <c r="N2294" s="1"/>
    </row>
    <row r="2295" spans="2:14" x14ac:dyDescent="0.35">
      <c r="B2295" s="9" t="str">
        <f>SPS4_NUC_High!B1813</f>
        <v>SPS1</v>
      </c>
      <c r="C2295" s="9" t="str">
        <f>SPS4_NUC_High!C1813</f>
        <v>CH</v>
      </c>
      <c r="D2295" s="2" t="s">
        <v>2429</v>
      </c>
      <c r="E2295" s="9" t="str">
        <f t="shared" si="2162"/>
        <v>GWth/yr.</v>
      </c>
      <c r="F2295" s="17">
        <f t="shared" ref="F2295:K2295" si="2179">SUM(F2296,F2299,F2301,F2305,F2307,F2309,F2311)</f>
        <v>9.8651268066404067E-6</v>
      </c>
      <c r="G2295" s="17">
        <f t="shared" si="2179"/>
        <v>8.6560727529406037E-2</v>
      </c>
      <c r="H2295" s="17">
        <f t="shared" si="2179"/>
        <v>0.13308774706759685</v>
      </c>
      <c r="I2295" s="17">
        <f t="shared" si="2179"/>
        <v>0.2839208371489545</v>
      </c>
      <c r="J2295" s="17">
        <f t="shared" si="2179"/>
        <v>2.5708703297637818</v>
      </c>
      <c r="K2295" s="17">
        <f t="shared" si="2179"/>
        <v>1.7691529784718854</v>
      </c>
      <c r="L2295" s="17">
        <f t="shared" ref="L2295" si="2180">SUM(L2296,L2299,L2301,L2305,L2307,L2309,L2311)</f>
        <v>2.2118190521226238</v>
      </c>
      <c r="N2295" s="1"/>
    </row>
    <row r="2296" spans="2:14" x14ac:dyDescent="0.35">
      <c r="B2296" s="5" t="str">
        <f t="shared" ref="B2296:B2312" si="2181">B2295</f>
        <v>SPS1</v>
      </c>
      <c r="C2296" s="5" t="str">
        <f t="shared" ref="C2296:C2312" si="2182">C2295</f>
        <v>CH</v>
      </c>
      <c r="D2296" t="s">
        <v>2430</v>
      </c>
      <c r="E2296" t="str">
        <f t="shared" si="2162"/>
        <v>GWth/yr.</v>
      </c>
      <c r="F2296" s="1">
        <f t="shared" ref="F2296:K2296" si="2183">SUM(F2297:F2298)</f>
        <v>3.5252121751313902E-7</v>
      </c>
      <c r="G2296" s="1">
        <f t="shared" si="2183"/>
        <v>2.9056064461732739E-7</v>
      </c>
      <c r="H2296" s="1">
        <f t="shared" si="2183"/>
        <v>3.3246255293320001E-7</v>
      </c>
      <c r="I2296" s="1">
        <f t="shared" si="2183"/>
        <v>0.15004542689254324</v>
      </c>
      <c r="J2296" s="1">
        <f t="shared" si="2183"/>
        <v>0.49883320478748211</v>
      </c>
      <c r="K2296" s="1">
        <f t="shared" si="2183"/>
        <v>0.32965108555138073</v>
      </c>
      <c r="L2296" s="1">
        <f t="shared" ref="L2296" si="2184">SUM(L2297:L2298)</f>
        <v>0.8002642429098803</v>
      </c>
      <c r="N2296" s="1"/>
    </row>
    <row r="2297" spans="2:14" x14ac:dyDescent="0.35">
      <c r="B2297" s="5" t="str">
        <f t="shared" si="2181"/>
        <v>SPS1</v>
      </c>
      <c r="C2297" s="5" t="str">
        <f t="shared" si="2182"/>
        <v>CH</v>
      </c>
      <c r="D2297" t="s">
        <v>2431</v>
      </c>
      <c r="E2297" t="str">
        <f t="shared" si="2162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3.2697652412209601E-7</v>
      </c>
      <c r="G2297" s="1" cm="1">
        <f t="array" ref="G2297">SUMPRODUCT(([1]OUT_FinalEnergyCons!$B$4:$B$10000="var_ncap")*1, (ISNUMBER(SEARCH("SCOM-SHELCBR",[1]OUT_FinalEnergyCons!$A$4:$A$10000)))*1,[1]OUT_FinalEnergyCons!E$4:E$10000)</f>
        <v>2.5034506706436499E-7</v>
      </c>
      <c r="H2297" s="1" cm="1">
        <f t="array" ref="H2297">SUMPRODUCT(([1]OUT_FinalEnergyCons!$B$4:$B$10000="var_ncap")*1, (ISNUMBER(SEARCH("SCOM-SHELCBR",[1]OUT_FinalEnergyCons!$A$4:$A$10000)))*1,[1]OUT_FinalEnergyCons!F$4:F$10000)</f>
        <v>2.1595262656963399E-7</v>
      </c>
      <c r="I2297" s="1" cm="1">
        <f t="array" ref="I2297">SUMPRODUCT(([1]OUT_FinalEnergyCons!$B$4:$B$10000="var_ncap")*1, (ISNUMBER(SEARCH("SCOM-SHELCBR",[1]OUT_FinalEnergyCons!$A$4:$A$10000)))*1,[1]OUT_FinalEnergyCons!G$4:G$10000)</f>
        <v>3.6498745224574698E-7</v>
      </c>
      <c r="J2297" s="1" cm="1">
        <f t="array" ref="J2297">SUMPRODUCT(([2]OUT_FinalEnergyCons!$B$4:$B$10000="var_ncap")*1, (ISNUMBER(SEARCH("SCOM-SHELCBR",[2]OUT_FinalEnergyCons!$A$4:$A$10000)))*1,[2]OUT_FinalEnergyCons!H$4:H$10000)</f>
        <v>1.2180491210859099E-2</v>
      </c>
      <c r="K2297" s="1" cm="1">
        <f t="array" ref="K2297">SUMPRODUCT(([2]OUT_FinalEnergyCons!$B$4:$B$10000="var_ncap")*1, (ISNUMBER(SEARCH("SCOM-SHELCBR",[2]OUT_FinalEnergyCons!$A$4:$A$10000)))*1,[2]OUT_FinalEnergyCons!I$4:I$10000)</f>
        <v>1.10870367435597E-2</v>
      </c>
      <c r="L2297" s="1" cm="1">
        <f t="array" ref="L2297">SUMPRODUCT(([2]OUT_FinalEnergyCons!$B$4:$B$10000="var_ncap")*1, (ISNUMBER(SEARCH("SCOM-SHELCBR",[2]OUT_FinalEnergyCons!$A$4:$A$10000)))*1,[2]OUT_FinalEnergyCons!J$4:J$10000)</f>
        <v>2.3197002043833501E-3</v>
      </c>
      <c r="N2297" s="1"/>
    </row>
    <row r="2298" spans="2:14" x14ac:dyDescent="0.35">
      <c r="B2298" s="5" t="str">
        <f t="shared" si="2181"/>
        <v>SPS1</v>
      </c>
      <c r="C2298" s="5" t="str">
        <f t="shared" si="2182"/>
        <v>CH</v>
      </c>
      <c r="D2298" t="s">
        <v>2432</v>
      </c>
      <c r="E2298" t="str">
        <f t="shared" si="2162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2.5544693391043E-8</v>
      </c>
      <c r="G2298" s="1" cm="1">
        <f t="array" ref="G2298">SUMPRODUCT(([1]OUT_FinalEnergyCons!$B$4:$B$10000="var_ncap")*1, (ISNUMBER(SEARCH("SCOM-SHELCHP",[1]OUT_FinalEnergyCons!$A$4:$A$10000)))*1,[1]OUT_FinalEnergyCons!E$4:E$10000)</f>
        <v>4.02155775529624E-8</v>
      </c>
      <c r="H2298" s="1" cm="1">
        <f t="array" ref="H2298">SUMPRODUCT(([1]OUT_FinalEnergyCons!$B$4:$B$10000="var_ncap")*1, (ISNUMBER(SEARCH("SCOM-SHELCHP",[1]OUT_FinalEnergyCons!$A$4:$A$10000)))*1,[1]OUT_FinalEnergyCons!F$4:F$10000)</f>
        <v>1.1650992636356599E-7</v>
      </c>
      <c r="I2298" s="1" cm="1">
        <f t="array" ref="I2298">SUMPRODUCT(([1]OUT_FinalEnergyCons!$B$4:$B$10000="var_ncap")*1, (ISNUMBER(SEARCH("SCOM-SHELCHP",[1]OUT_FinalEnergyCons!$A$4:$A$10000)))*1,[1]OUT_FinalEnergyCons!G$4:G$10000)</f>
        <v>0.15004506190509101</v>
      </c>
      <c r="J2298" s="1" cm="1">
        <f t="array" ref="J2298">SUMPRODUCT(([2]OUT_FinalEnergyCons!$B$4:$B$10000="var_ncap")*1, (ISNUMBER(SEARCH("SCOM-SHELCHP",[2]OUT_FinalEnergyCons!$A$4:$A$10000)))*1,[2]OUT_FinalEnergyCons!H$4:H$10000)</f>
        <v>0.48665271357662299</v>
      </c>
      <c r="K2298" s="1" cm="1">
        <f t="array" ref="K2298">SUMPRODUCT(([2]OUT_FinalEnergyCons!$B$4:$B$10000="var_ncap")*1, (ISNUMBER(SEARCH("SCOM-SHELCHP",[2]OUT_FinalEnergyCons!$A$4:$A$10000)))*1,[2]OUT_FinalEnergyCons!I$4:I$10000)</f>
        <v>0.31856404880782102</v>
      </c>
      <c r="L2298" s="1" cm="1">
        <f t="array" ref="L2298">SUMPRODUCT(([2]OUT_FinalEnergyCons!$B$4:$B$10000="var_ncap")*1, (ISNUMBER(SEARCH("SCOM-SHELCHP",[2]OUT_FinalEnergyCons!$A$4:$A$10000)))*1,[2]OUT_FinalEnergyCons!J$4:J$10000)</f>
        <v>0.79794454270549697</v>
      </c>
      <c r="N2298" s="1"/>
    </row>
    <row r="2299" spans="2:14" x14ac:dyDescent="0.35">
      <c r="B2299" s="5" t="str">
        <f t="shared" si="2181"/>
        <v>SPS1</v>
      </c>
      <c r="C2299" s="5" t="str">
        <f t="shared" si="2182"/>
        <v>CH</v>
      </c>
      <c r="D2299" t="s">
        <v>2433</v>
      </c>
      <c r="E2299" t="str">
        <f t="shared" si="2162"/>
        <v>GWth/yr.</v>
      </c>
      <c r="F2299" s="1">
        <f t="shared" ref="F2299:L2299" si="2185">F2300</f>
        <v>2.0306033124240299E-7</v>
      </c>
      <c r="G2299" s="1">
        <f t="shared" si="2185"/>
        <v>1.23126981567458E-7</v>
      </c>
      <c r="H2299" s="1">
        <f t="shared" si="2185"/>
        <v>9.3180723348508404E-8</v>
      </c>
      <c r="I2299" s="1">
        <f t="shared" si="2185"/>
        <v>1.61562859752977E-7</v>
      </c>
      <c r="J2299" s="1">
        <f t="shared" si="2185"/>
        <v>0.460440356337951</v>
      </c>
      <c r="K2299" s="1">
        <f t="shared" si="2185"/>
        <v>0.31428975136557002</v>
      </c>
      <c r="L2299" s="1">
        <f t="shared" si="2185"/>
        <v>1.16406880528623E-7</v>
      </c>
      <c r="N2299" s="1"/>
    </row>
    <row r="2300" spans="2:14" x14ac:dyDescent="0.35">
      <c r="B2300" s="5" t="str">
        <f t="shared" si="2181"/>
        <v>SPS1</v>
      </c>
      <c r="C2300" s="5" t="str">
        <f t="shared" si="2182"/>
        <v>CH</v>
      </c>
      <c r="D2300" t="s">
        <v>2434</v>
      </c>
      <c r="E2300" t="str">
        <f t="shared" ref="E2300:E2312" si="2186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2.0306033124240299E-7</v>
      </c>
      <c r="G2300" s="1" cm="1">
        <f t="array" ref="G2300">SUMPRODUCT(([1]OUT_FinalEnergyCons!$B$4:$B$10000="var_ncap")*1,(ISNUMBER(SEARCH("SCOM-SHLFOBR",[1]OUT_FinalEnergyCons!$A$4:$A$10000)))*1,[1]OUT_FinalEnergyCons!E$4:E$10000)</f>
        <v>1.23126981567458E-7</v>
      </c>
      <c r="H2300" s="1" cm="1">
        <f t="array" ref="H2300">SUMPRODUCT(([1]OUT_FinalEnergyCons!$B$4:$B$10000="var_ncap")*1,(ISNUMBER(SEARCH("SCOM-SHLFOBR",[1]OUT_FinalEnergyCons!$A$4:$A$10000)))*1,[1]OUT_FinalEnergyCons!F$4:F$10000)</f>
        <v>9.3180723348508404E-8</v>
      </c>
      <c r="I2300" s="1" cm="1">
        <f t="array" ref="I2300">SUMPRODUCT(([1]OUT_FinalEnergyCons!$B$4:$B$10000="var_ncap")*1,(ISNUMBER(SEARCH("SCOM-SHLFOBR",[1]OUT_FinalEnergyCons!$A$4:$A$10000)))*1,[1]OUT_FinalEnergyCons!G$4:G$10000)</f>
        <v>1.61562859752977E-7</v>
      </c>
      <c r="J2300" s="1" cm="1">
        <f t="array" ref="J2300">SUMPRODUCT(([2]OUT_FinalEnergyCons!$B$4:$B$10000="var_ncap")*1,(ISNUMBER(SEARCH("SCOM-SHLFOBR",[2]OUT_FinalEnergyCons!$A$4:$A$10000)))*1,[2]OUT_FinalEnergyCons!H$4:H$10000)</f>
        <v>0.460440356337951</v>
      </c>
      <c r="K2300" s="1" cm="1">
        <f t="array" ref="K2300">SUMPRODUCT(([2]OUT_FinalEnergyCons!$B$4:$B$10000="var_ncap")*1,(ISNUMBER(SEARCH("SCOM-SHLFOBR",[2]OUT_FinalEnergyCons!$A$4:$A$10000)))*1,[2]OUT_FinalEnergyCons!I$4:I$10000)</f>
        <v>0.31428975136557002</v>
      </c>
      <c r="L2300" s="1" cm="1">
        <f t="array" ref="L2300">SUMPRODUCT(([2]OUT_FinalEnergyCons!$B$4:$B$10000="var_ncap")*1,(ISNUMBER(SEARCH("SCOM-SHLFOBR",[2]OUT_FinalEnergyCons!$A$4:$A$10000)))*1,[2]OUT_FinalEnergyCons!J$4:J$10000)</f>
        <v>1.16406880528623E-7</v>
      </c>
      <c r="N2300" s="1"/>
    </row>
    <row r="2301" spans="2:14" x14ac:dyDescent="0.35">
      <c r="B2301" s="5" t="str">
        <f t="shared" si="2181"/>
        <v>SPS1</v>
      </c>
      <c r="C2301" s="5" t="str">
        <f t="shared" si="2182"/>
        <v>CH</v>
      </c>
      <c r="D2301" t="s">
        <v>2435</v>
      </c>
      <c r="E2301" t="str">
        <f t="shared" si="2186"/>
        <v>GWth/yr.</v>
      </c>
      <c r="F2301" s="1">
        <f t="shared" ref="F2301:K2301" si="2187">SUM(F2302:F2304)</f>
        <v>3.3787272848956465E-7</v>
      </c>
      <c r="G2301" s="1">
        <f t="shared" si="2187"/>
        <v>1.0484051930488785E-5</v>
      </c>
      <c r="H2301" s="1">
        <f t="shared" si="2187"/>
        <v>0.13308702797689403</v>
      </c>
      <c r="I2301" s="1">
        <f t="shared" si="2187"/>
        <v>0.13387420504961409</v>
      </c>
      <c r="J2301" s="1">
        <f t="shared" si="2187"/>
        <v>0.6357702145287033</v>
      </c>
      <c r="K2301" s="1">
        <f t="shared" si="2187"/>
        <v>0.85621610687717908</v>
      </c>
      <c r="L2301" s="1">
        <f t="shared" ref="L2301" si="2188">SUM(L2302:L2304)</f>
        <v>0.47923405065514341</v>
      </c>
      <c r="N2301" s="1"/>
    </row>
    <row r="2302" spans="2:14" x14ac:dyDescent="0.35">
      <c r="B2302" s="5" t="str">
        <f t="shared" si="2181"/>
        <v>SPS1</v>
      </c>
      <c r="C2302" s="5" t="str">
        <f t="shared" si="2182"/>
        <v>CH</v>
      </c>
      <c r="D2302" t="s">
        <v>2436</v>
      </c>
      <c r="E2302" t="str">
        <f t="shared" si="2186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5.5688919380623699E-8</v>
      </c>
      <c r="G2302" s="1" cm="1">
        <f t="array" ref="G2302">SUMPRODUCT(([1]OUT_FinalEnergyCons!$B$4:$B$10000="var_ncap")*1, (ISNUMBER(SEARCH("SCOM-SHNGABR",[1]OUT_FinalEnergyCons!$A$4:$A$10000)))*1,[1]OUT_FinalEnergyCons!E$4:E$10000)</f>
        <v>1.3072988736704301E-7</v>
      </c>
      <c r="H2302" s="1" cm="1">
        <f t="array" ref="H2302">SUMPRODUCT(([1]OUT_FinalEnergyCons!$B$4:$B$10000="var_ncap")*1, (ISNUMBER(SEARCH("SCOM-SHNGABR",[1]OUT_FinalEnergyCons!$A$4:$A$10000)))*1,[1]OUT_FinalEnergyCons!F$4:F$10000)</f>
        <v>1.15745871262084E-7</v>
      </c>
      <c r="I2302" s="1" cm="1">
        <f t="array" ref="I2302">SUMPRODUCT(([1]OUT_FinalEnergyCons!$B$4:$B$10000="var_ncap")*1, (ISNUMBER(SEARCH("SCOM-SHNGABR",[1]OUT_FinalEnergyCons!$A$4:$A$10000)))*1,[1]OUT_FinalEnergyCons!G$4:G$10000)</f>
        <v>2.0984510685494E-7</v>
      </c>
      <c r="J2302" s="1" cm="1">
        <f t="array" ref="J2302">SUMPRODUCT(([2]OUT_FinalEnergyCons!$B$4:$B$10000="var_ncap")*1, (ISNUMBER(SEARCH("SCOM-SHNGABR",[2]OUT_FinalEnergyCons!$A$4:$A$10000)))*1,[2]OUT_FinalEnergyCons!H$4:H$10000)</f>
        <v>0.53096876356650102</v>
      </c>
      <c r="K2302" s="1" cm="1">
        <f t="array" ref="K2302">SUMPRODUCT(([2]OUT_FinalEnergyCons!$B$4:$B$10000="var_ncap")*1, (ISNUMBER(SEARCH("SCOM-SHNGABR",[2]OUT_FinalEnergyCons!$A$4:$A$10000)))*1,[2]OUT_FinalEnergyCons!I$4:I$10000)</f>
        <v>0.60969919793843996</v>
      </c>
      <c r="L2302" s="1" cm="1">
        <f t="array" ref="L2302">SUMPRODUCT(([2]OUT_FinalEnergyCons!$B$4:$B$10000="var_ncap")*1, (ISNUMBER(SEARCH("SCOM-SHNGABR",[2]OUT_FinalEnergyCons!$A$4:$A$10000)))*1,[2]OUT_FinalEnergyCons!J$4:J$10000)</f>
        <v>3.0347429457425201E-2</v>
      </c>
      <c r="N2302" s="1"/>
    </row>
    <row r="2303" spans="2:14" x14ac:dyDescent="0.35">
      <c r="B2303" s="5" t="str">
        <f t="shared" si="2181"/>
        <v>SPS1</v>
      </c>
      <c r="C2303" s="5" t="str">
        <f t="shared" si="2182"/>
        <v>CH</v>
      </c>
      <c r="D2303" t="s">
        <v>2437</v>
      </c>
      <c r="E2303" t="str">
        <f t="shared" si="2186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1.35884408911909E-7</v>
      </c>
      <c r="G2303" s="1" cm="1">
        <f t="array" ref="G2303">SUMPRODUCT(([1]OUT_FinalEnergyCons!$B$4:$B$10000="var_ncap")*1, (ISNUMBER(SEARCH("SCOM-SHngahp",[1]OUT_FinalEnergyCons!$A$4:$A$10000)))*1,[1]OUT_FinalEnergyCons!E$4:E$10000)</f>
        <v>9.9058645186704297E-6</v>
      </c>
      <c r="H2303" s="1" cm="1">
        <f t="array" ref="H2303">SUMPRODUCT(([1]OUT_FinalEnergyCons!$B$4:$B$10000="var_ncap")*1, (ISNUMBER(SEARCH("SCOM-SHngahp",[1]OUT_FinalEnergyCons!$A$4:$A$10000)))*1,[1]OUT_FinalEnergyCons!F$4:F$10000)</f>
        <v>0.13308678659460499</v>
      </c>
      <c r="I2303" s="1" cm="1">
        <f t="array" ref="I2303">SUMPRODUCT(([1]OUT_FinalEnergyCons!$B$4:$B$10000="var_ncap")*1, (ISNUMBER(SEARCH("SCOM-SHngahp",[1]OUT_FinalEnergyCons!$A$4:$A$10000)))*1,[1]OUT_FinalEnergyCons!G$4:G$10000)</f>
        <v>0.133873831869112</v>
      </c>
      <c r="J2303" s="1" cm="1">
        <f t="array" ref="J2303">SUMPRODUCT(([2]OUT_FinalEnergyCons!$B$4:$B$10000="var_ncap")*1, (ISNUMBER(SEARCH("SCOM-SHngahp",[2]OUT_FinalEnergyCons!$A$4:$A$10000)))*1,[2]OUT_FinalEnergyCons!H$4:H$10000)</f>
        <v>0.10479691257706</v>
      </c>
      <c r="K2303" s="1" cm="1">
        <f t="array" ref="K2303">SUMPRODUCT(([2]OUT_FinalEnergyCons!$B$4:$B$10000="var_ncap")*1, (ISNUMBER(SEARCH("SCOM-SHngahp",[2]OUT_FinalEnergyCons!$A$4:$A$10000)))*1,[2]OUT_FinalEnergyCons!I$4:I$10000)</f>
        <v>0.24651083391591999</v>
      </c>
      <c r="L2303" s="1" cm="1">
        <f t="array" ref="L2303">SUMPRODUCT(([2]OUT_FinalEnergyCons!$B$4:$B$10000="var_ncap")*1, (ISNUMBER(SEARCH("SCOM-SHngahp",[2]OUT_FinalEnergyCons!$A$4:$A$10000)))*1,[2]OUT_FinalEnergyCons!J$4:J$10000)</f>
        <v>0.44888375387899698</v>
      </c>
      <c r="N2303" s="1"/>
    </row>
    <row r="2304" spans="2:14" x14ac:dyDescent="0.35">
      <c r="B2304" s="5" t="str">
        <f t="shared" si="2181"/>
        <v>SPS1</v>
      </c>
      <c r="C2304" s="5" t="str">
        <f t="shared" si="2182"/>
        <v>CH</v>
      </c>
      <c r="D2304" t="s">
        <v>2438</v>
      </c>
      <c r="E2304" t="str">
        <f t="shared" si="2186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1.4629940019703199E-7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4.47457524451313E-7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1.25636417798066E-7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1.63335395245594E-7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4.5383851422184703E-6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6.0750228191682497E-6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2.8673187212262202E-6</v>
      </c>
      <c r="N2304" s="1"/>
    </row>
    <row r="2305" spans="2:14" x14ac:dyDescent="0.35">
      <c r="B2305" s="5" t="str">
        <f t="shared" si="2181"/>
        <v>SPS1</v>
      </c>
      <c r="C2305" s="5" t="str">
        <f t="shared" si="2182"/>
        <v>CH</v>
      </c>
      <c r="D2305" t="s">
        <v>2439</v>
      </c>
      <c r="E2305" t="str">
        <f t="shared" si="2186"/>
        <v>GWth/yr.</v>
      </c>
      <c r="F2305" s="1">
        <f t="shared" ref="F2305:L2305" si="2189">F2306</f>
        <v>2.2592731323993799E-6</v>
      </c>
      <c r="G2305" s="1">
        <f t="shared" si="2189"/>
        <v>5.3454184076323803E-2</v>
      </c>
      <c r="H2305" s="1">
        <f t="shared" si="2189"/>
        <v>1.3444210638145101E-7</v>
      </c>
      <c r="I2305" s="1">
        <f t="shared" si="2189"/>
        <v>2.5011479181795502E-7</v>
      </c>
      <c r="J2305" s="1">
        <f t="shared" si="2189"/>
        <v>0.30067024281129701</v>
      </c>
      <c r="K2305" s="1">
        <f t="shared" si="2189"/>
        <v>0.115093271783311</v>
      </c>
      <c r="L2305" s="1">
        <f t="shared" si="2189"/>
        <v>0.153209139589601</v>
      </c>
      <c r="N2305" s="1"/>
    </row>
    <row r="2306" spans="2:14" x14ac:dyDescent="0.35">
      <c r="B2306" s="5" t="str">
        <f t="shared" si="2181"/>
        <v>SPS1</v>
      </c>
      <c r="C2306" s="5" t="str">
        <f t="shared" si="2182"/>
        <v>CH</v>
      </c>
      <c r="D2306" t="s">
        <v>2440</v>
      </c>
      <c r="E2306" t="str">
        <f t="shared" si="2186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2.2592731323993799E-6</v>
      </c>
      <c r="G2306" s="1" cm="1">
        <f t="array" ref="G2306">SUMPRODUCT(([1]OUT_FinalEnergyCons!$B$4:$B$10000="var_ncap")*1, (ISNUMBER(SEARCH("SCOM-SHWODBR",[1]OUT_FinalEnergyCons!$A$4:$A$10000)))*1,[1]OUT_FinalEnergyCons!E$4:E$10000)</f>
        <v>5.3454184076323803E-2</v>
      </c>
      <c r="H2306" s="1" cm="1">
        <f t="array" ref="H2306">SUMPRODUCT(([1]OUT_FinalEnergyCons!$B$4:$B$10000="var_ncap")*1, (ISNUMBER(SEARCH("SCOM-SHWODBR",[1]OUT_FinalEnergyCons!$A$4:$A$10000)))*1,[1]OUT_FinalEnergyCons!F$4:F$10000)</f>
        <v>1.3444210638145101E-7</v>
      </c>
      <c r="I2306" s="1" cm="1">
        <f t="array" ref="I2306">SUMPRODUCT(([1]OUT_FinalEnergyCons!$B$4:$B$10000="var_ncap")*1, (ISNUMBER(SEARCH("SCOM-SHWODBR",[1]OUT_FinalEnergyCons!$A$4:$A$10000)))*1,[1]OUT_FinalEnergyCons!G$4:G$10000)</f>
        <v>2.5011479181795502E-7</v>
      </c>
      <c r="J2306" s="1" cm="1">
        <f t="array" ref="J2306">SUMPRODUCT(([2]OUT_FinalEnergyCons!$B$4:$B$10000="var_ncap")*1, (ISNUMBER(SEARCH("SCOM-SHWODBR",[2]OUT_FinalEnergyCons!$A$4:$A$10000)))*1,[2]OUT_FinalEnergyCons!H$4:H$10000)</f>
        <v>0.30067024281129701</v>
      </c>
      <c r="K2306" s="1" cm="1">
        <f t="array" ref="K2306">SUMPRODUCT(([2]OUT_FinalEnergyCons!$B$4:$B$10000="var_ncap")*1, (ISNUMBER(SEARCH("SCOM-SHWODBR",[2]OUT_FinalEnergyCons!$A$4:$A$10000)))*1,[2]OUT_FinalEnergyCons!I$4:I$10000)</f>
        <v>0.115093271783311</v>
      </c>
      <c r="L2306" s="1" cm="1">
        <f t="array" ref="L2306">SUMPRODUCT(([2]OUT_FinalEnergyCons!$B$4:$B$10000="var_ncap")*1, (ISNUMBER(SEARCH("SCOM-SHWODBR",[2]OUT_FinalEnergyCons!$A$4:$A$10000)))*1,[2]OUT_FinalEnergyCons!J$4:J$10000)</f>
        <v>0.153209139589601</v>
      </c>
      <c r="N2306" s="1"/>
    </row>
    <row r="2307" spans="2:14" x14ac:dyDescent="0.35">
      <c r="B2307" s="5" t="str">
        <f t="shared" si="2181"/>
        <v>SPS1</v>
      </c>
      <c r="C2307" s="5" t="str">
        <f t="shared" si="2182"/>
        <v>CH</v>
      </c>
      <c r="D2307" t="s">
        <v>2441</v>
      </c>
      <c r="E2307" t="str">
        <f t="shared" si="2186"/>
        <v>GWth/yr.</v>
      </c>
      <c r="F2307" s="1">
        <f t="shared" ref="F2307:L2307" si="2190">F2308</f>
        <v>2.8025201039842002E-7</v>
      </c>
      <c r="G2307" s="1">
        <f t="shared" si="2190"/>
        <v>2.43370912856242E-2</v>
      </c>
      <c r="H2307" s="1">
        <f t="shared" si="2190"/>
        <v>7.7838366621668505E-8</v>
      </c>
      <c r="I2307" s="1">
        <f t="shared" si="2190"/>
        <v>4.6126795791049901E-7</v>
      </c>
      <c r="J2307" s="1">
        <f t="shared" si="2190"/>
        <v>4.6670861553633203E-2</v>
      </c>
      <c r="K2307" s="1">
        <f t="shared" si="2190"/>
        <v>3.8418040947277902E-2</v>
      </c>
      <c r="L2307" s="1">
        <f t="shared" si="2190"/>
        <v>5.7128294623320398E-2</v>
      </c>
      <c r="N2307" s="1"/>
    </row>
    <row r="2308" spans="2:14" x14ac:dyDescent="0.35">
      <c r="B2308" s="5" t="str">
        <f t="shared" si="2181"/>
        <v>SPS1</v>
      </c>
      <c r="C2308" s="5" t="str">
        <f t="shared" si="2182"/>
        <v>CH</v>
      </c>
      <c r="D2308" t="s">
        <v>2442</v>
      </c>
      <c r="E2308" t="str">
        <f t="shared" si="2186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2.8025201039842002E-7</v>
      </c>
      <c r="G2308" s="1" cm="1">
        <f t="array" ref="G2308">SUMPRODUCT(([1]OUT_FinalEnergyCons!$B$4:$B$10000="var_ncap")*1,(ISNUMBER(SEARCH("SCOM-SHPLTBR",[1]OUT_FinalEnergyCons!$A$4:$A$10000)))*1,[1]OUT_FinalEnergyCons!E$4:E$10000)</f>
        <v>2.43370912856242E-2</v>
      </c>
      <c r="H2308" s="1" cm="1">
        <f t="array" ref="H2308">SUMPRODUCT(([1]OUT_FinalEnergyCons!$B$4:$B$10000="var_ncap")*1,(ISNUMBER(SEARCH("SCOM-SHPLTBR",[1]OUT_FinalEnergyCons!$A$4:$A$10000)))*1,[1]OUT_FinalEnergyCons!F$4:F$10000)</f>
        <v>7.7838366621668505E-8</v>
      </c>
      <c r="I2308" s="1" cm="1">
        <f t="array" ref="I2308">SUMPRODUCT(([1]OUT_FinalEnergyCons!$B$4:$B$10000="var_ncap")*1,(ISNUMBER(SEARCH("SCOM-SHPLTBR",[1]OUT_FinalEnergyCons!$A$4:$A$10000)))*1,[1]OUT_FinalEnergyCons!G$4:G$10000)</f>
        <v>4.6126795791049901E-7</v>
      </c>
      <c r="J2308" s="1" cm="1">
        <f t="array" ref="J2308">SUMPRODUCT(([2]OUT_FinalEnergyCons!$B$4:$B$10000="var_ncap")*1,(ISNUMBER(SEARCH("SCOM-SHPLTBR",[2]OUT_FinalEnergyCons!$A$4:$A$10000)))*1,[2]OUT_FinalEnergyCons!H$4:H$10000)</f>
        <v>4.6670861553633203E-2</v>
      </c>
      <c r="K2308" s="1" cm="1">
        <f t="array" ref="K2308">SUMPRODUCT(([2]OUT_FinalEnergyCons!$B$4:$B$10000="var_ncap")*1,(ISNUMBER(SEARCH("SCOM-SHPLTBR",[2]OUT_FinalEnergyCons!$A$4:$A$10000)))*1,[2]OUT_FinalEnergyCons!I$4:I$10000)</f>
        <v>3.8418040947277902E-2</v>
      </c>
      <c r="L2308" s="1" cm="1">
        <f t="array" ref="L2308">SUMPRODUCT(([2]OUT_FinalEnergyCons!$B$4:$B$10000="var_ncap")*1,(ISNUMBER(SEARCH("SCOM-SHPLTBR",[2]OUT_FinalEnergyCons!$A$4:$A$10000)))*1,[2]OUT_FinalEnergyCons!J$4:J$10000)</f>
        <v>5.7128294623320398E-2</v>
      </c>
      <c r="N2308" s="1"/>
    </row>
    <row r="2309" spans="2:14" x14ac:dyDescent="0.35">
      <c r="B2309" s="5" t="str">
        <f t="shared" si="2181"/>
        <v>SPS1</v>
      </c>
      <c r="C2309" s="5" t="str">
        <f t="shared" si="2182"/>
        <v>CH</v>
      </c>
      <c r="D2309" t="s">
        <v>2443</v>
      </c>
      <c r="E2309" t="str">
        <f t="shared" si="2186"/>
        <v>GWth/yr.</v>
      </c>
      <c r="F2309" s="1">
        <f t="shared" ref="F2309:L2309" si="2191">F2310</f>
        <v>6.4321473865975E-6</v>
      </c>
      <c r="G2309" s="1">
        <f t="shared" si="2191"/>
        <v>8.7585544279013602E-3</v>
      </c>
      <c r="H2309" s="1">
        <f t="shared" si="2191"/>
        <v>8.11669535180759E-8</v>
      </c>
      <c r="I2309" s="1">
        <f t="shared" si="2191"/>
        <v>1.5526564342367001E-7</v>
      </c>
      <c r="J2309" s="1">
        <f t="shared" si="2191"/>
        <v>7.0823839374215505E-2</v>
      </c>
      <c r="K2309" s="1">
        <f t="shared" si="2191"/>
        <v>3.5870296946856499E-2</v>
      </c>
      <c r="L2309" s="1">
        <f t="shared" si="2191"/>
        <v>7.1438408603645004E-2</v>
      </c>
      <c r="N2309" s="1"/>
    </row>
    <row r="2310" spans="2:14" x14ac:dyDescent="0.35">
      <c r="B2310" s="5" t="str">
        <f t="shared" si="2181"/>
        <v>SPS1</v>
      </c>
      <c r="C2310" s="5" t="str">
        <f t="shared" si="2182"/>
        <v>CH</v>
      </c>
      <c r="D2310" t="s">
        <v>2444</v>
      </c>
      <c r="E2310" t="str">
        <f t="shared" si="2186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6.4321473865975E-6</v>
      </c>
      <c r="G2310" s="1" cm="1">
        <f t="array" ref="G2310">SUMPRODUCT(([1]OUT_FinalEnergyCons!$B$4:$B$10000="var_ncap")*1, (ISNUMBER(SEARCH("SCOM-SHSOLBR",[1]OUT_FinalEnergyCons!$A$4:$A$10000)))*1,[1]OUT_FinalEnergyCons!E$4:E$10000)</f>
        <v>8.7585544279013602E-3</v>
      </c>
      <c r="H2310" s="1" cm="1">
        <f t="array" ref="H2310">SUMPRODUCT(([1]OUT_FinalEnergyCons!$B$4:$B$10000="var_ncap")*1, (ISNUMBER(SEARCH("SCOM-SHSOLBR",[1]OUT_FinalEnergyCons!$A$4:$A$10000)))*1,[1]OUT_FinalEnergyCons!F$4:F$10000)</f>
        <v>8.11669535180759E-8</v>
      </c>
      <c r="I2310" s="1" cm="1">
        <f t="array" ref="I2310">SUMPRODUCT(([1]OUT_FinalEnergyCons!$B$4:$B$10000="var_ncap")*1, (ISNUMBER(SEARCH("SCOM-SHSOLBR",[1]OUT_FinalEnergyCons!$A$4:$A$10000)))*1,[1]OUT_FinalEnergyCons!G$4:G$10000)</f>
        <v>1.5526564342367001E-7</v>
      </c>
      <c r="J2310" s="1" cm="1">
        <f t="array" ref="J2310">SUMPRODUCT(([2]OUT_FinalEnergyCons!$B$4:$B$10000="var_ncap")*1, (ISNUMBER(SEARCH("SCOM-SHSOLBR",[2]OUT_FinalEnergyCons!$A$4:$A$10000)))*1,[2]OUT_FinalEnergyCons!H$4:H$10000)</f>
        <v>7.0823839374215505E-2</v>
      </c>
      <c r="K2310" s="1" cm="1">
        <f t="array" ref="K2310">SUMPRODUCT(([2]OUT_FinalEnergyCons!$B$4:$B$10000="var_ncap")*1, (ISNUMBER(SEARCH("SCOM-SHSOLBR",[2]OUT_FinalEnergyCons!$A$4:$A$10000)))*1,[2]OUT_FinalEnergyCons!I$4:I$10000)</f>
        <v>3.5870296946856499E-2</v>
      </c>
      <c r="L2310" s="1" cm="1">
        <f t="array" ref="L2310">SUMPRODUCT(([2]OUT_FinalEnergyCons!$B$4:$B$10000="var_ncap")*1, (ISNUMBER(SEARCH("SCOM-SHSOLBR",[2]OUT_FinalEnergyCons!$A$4:$A$10000)))*1,[2]OUT_FinalEnergyCons!J$4:J$10000)</f>
        <v>7.1438408603645004E-2</v>
      </c>
      <c r="N2310" s="1"/>
    </row>
    <row r="2311" spans="2:14" x14ac:dyDescent="0.35">
      <c r="B2311" s="5" t="str">
        <f t="shared" si="2181"/>
        <v>SPS1</v>
      </c>
      <c r="C2311" s="5" t="str">
        <f t="shared" si="2182"/>
        <v>CH</v>
      </c>
      <c r="D2311" t="s">
        <v>2445</v>
      </c>
      <c r="E2311" t="str">
        <f t="shared" si="2186"/>
        <v>GWth/yr.</v>
      </c>
      <c r="F2311" s="1">
        <f t="shared" ref="F2311:L2311" si="2192">F2312</f>
        <v>0</v>
      </c>
      <c r="G2311" s="1">
        <f t="shared" si="2192"/>
        <v>0</v>
      </c>
      <c r="H2311" s="1">
        <f t="shared" si="2192"/>
        <v>0</v>
      </c>
      <c r="I2311" s="1">
        <f t="shared" si="2192"/>
        <v>1.7699554431450301E-7</v>
      </c>
      <c r="J2311" s="1">
        <f t="shared" si="2192"/>
        <v>0.55766161037049999</v>
      </c>
      <c r="K2311" s="1">
        <f t="shared" si="2192"/>
        <v>7.9614425000310005E-2</v>
      </c>
      <c r="L2311" s="1">
        <f t="shared" si="2192"/>
        <v>0.65054479933415299</v>
      </c>
      <c r="N2311" s="1"/>
    </row>
    <row r="2312" spans="2:14" x14ac:dyDescent="0.35">
      <c r="B2312" s="5" t="str">
        <f t="shared" si="2181"/>
        <v>SPS1</v>
      </c>
      <c r="C2312" s="5" t="str">
        <f t="shared" si="2182"/>
        <v>CH</v>
      </c>
      <c r="D2312" t="s">
        <v>2446</v>
      </c>
      <c r="E2312" t="str">
        <f t="shared" si="2186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1.7699554431450301E-7</v>
      </c>
      <c r="J2312" s="1" cm="1">
        <f t="array" ref="J2312">SUMPRODUCT(([2]OUT_FinalEnergyCons!$B$4:$B$10000="var_ncap")*1, (ISNUMBER(SEARCH("SCOM-SHH2BR",[2]OUT_FinalEnergyCons!$A$4:$A$10000)))*1,[2]OUT_FinalEnergyCons!H$4:H$10000)</f>
        <v>0.55766161037049999</v>
      </c>
      <c r="K2312" s="1" cm="1">
        <f t="array" ref="K2312">SUMPRODUCT(([2]OUT_FinalEnergyCons!$B$4:$B$10000="var_ncap")*1, (ISNUMBER(SEARCH("SCOM-SHH2BR",[2]OUT_FinalEnergyCons!$A$4:$A$10000)))*1,[2]OUT_FinalEnergyCons!I$4:I$10000)</f>
        <v>7.9614425000310005E-2</v>
      </c>
      <c r="L2312" s="1" cm="1">
        <f t="array" ref="L2312">SUMPRODUCT(([2]OUT_FinalEnergyCons!$B$4:$B$10000="var_ncap")*1, (ISNUMBER(SEARCH("SCOM-SHH2BR",[2]OUT_FinalEnergyCons!$A$4:$A$10000)))*1,[2]OUT_FinalEnergyCons!J$4:J$10000)</f>
        <v>0.65054479933415299</v>
      </c>
      <c r="N2312" s="1"/>
    </row>
    <row r="2313" spans="2:14" x14ac:dyDescent="0.35">
      <c r="B2313" s="5" t="str">
        <f>SPS4_NUC_High!B2021</f>
        <v>SPS1</v>
      </c>
      <c r="C2313" s="5" t="str">
        <f>SPS4_NUC_High!C2021</f>
        <v>CH</v>
      </c>
      <c r="D2313" s="2" t="s">
        <v>2448</v>
      </c>
      <c r="E2313" s="2" t="s">
        <v>2154</v>
      </c>
      <c r="F2313" s="3">
        <f t="shared" ref="F2313:K2313" si="2193">SUM(F2314,F2318,F2321)</f>
        <v>1.5806548997101099E-4</v>
      </c>
      <c r="G2313" s="3">
        <f t="shared" si="2193"/>
        <v>7.1831152273802197E-7</v>
      </c>
      <c r="H2313" s="3">
        <f t="shared" si="2193"/>
        <v>1.61230490527306E-6</v>
      </c>
      <c r="I2313" s="3">
        <f t="shared" si="2193"/>
        <v>2.3548412397715783E-4</v>
      </c>
      <c r="J2313" s="3">
        <f t="shared" si="2193"/>
        <v>4.3922644840809151E-5</v>
      </c>
      <c r="K2313" s="3">
        <f t="shared" si="2193"/>
        <v>3.8693657930883554E-4</v>
      </c>
      <c r="L2313" s="3">
        <f t="shared" ref="L2313" si="2194">SUM(L2314,L2318,L2321)</f>
        <v>2.4560822569799762E-2</v>
      </c>
      <c r="N2313" s="1"/>
    </row>
    <row r="2314" spans="2:14" x14ac:dyDescent="0.35">
      <c r="B2314" s="5" t="str">
        <f t="shared" ref="B2314:B2340" si="2195">B2313</f>
        <v>SPS1</v>
      </c>
      <c r="C2314" s="5" t="str">
        <f t="shared" ref="C2314:C2340" si="2196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1.5806548997101099E-4</v>
      </c>
      <c r="G2314" s="1" cm="1">
        <f t="array" ref="G2314">SUMPRODUCT(ISNUMBER(SEARCH("SUP_ELCH2*",[1]OUT_SyntheticFuels!$C$4:$C$1000))*1,("var_ncap"=[1]OUT_SyntheticFuels!$B$4:$B$1000)*1,[1]OUT_SyntheticFuels!F$4:F$1000)</f>
        <v>7.1831152273802197E-7</v>
      </c>
      <c r="H2314" s="1" cm="1">
        <f t="array" ref="H2314">SUMPRODUCT(ISNUMBER(SEARCH("SUP_ELCH2*",[1]OUT_SyntheticFuels!$C$4:$C$1000))*1,("var_ncap"=[1]OUT_SyntheticFuels!$B$4:$B$1000)*1,[1]OUT_SyntheticFuels!G$4:G$1000)</f>
        <v>1.61230490527306E-6</v>
      </c>
      <c r="I2314" s="1" cm="1">
        <f t="array" ref="I2314">SUMPRODUCT(ISNUMBER(SEARCH("SUP_ELCH2*",[1]OUT_SyntheticFuels!$C$4:$C$1000))*1,("var_ncap"=[1]OUT_SyntheticFuels!$B$4:$B$1000)*1,[1]OUT_SyntheticFuels!H$4:H$1000)</f>
        <v>2.3538180683135715E-4</v>
      </c>
      <c r="J2314" s="1" cm="1">
        <f t="array" ref="J2314">SUMPRODUCT(ISNUMBER(SEARCH("SUP_ELCH2*",[2]OUT_SyntheticFuels!$C$4:$C$1000))*1,("var_ncap"=[2]OUT_SyntheticFuels!$B$4:$B$1000)*1,[2]OUT_SyntheticFuels!I$4:I$1000)</f>
        <v>4.3798090716258971E-5</v>
      </c>
      <c r="K2314" s="1" cm="1">
        <f t="array" ref="K2314">SUMPRODUCT(ISNUMBER(SEARCH("SUP_ELCH2*",[2]OUT_SyntheticFuels!$C$4:$C$1000))*1,("var_ncap"=[2]OUT_SyntheticFuels!$B$4:$B$1000)*1,[2]OUT_SyntheticFuels!J$4:J$1000)</f>
        <v>3.8679147878593553E-4</v>
      </c>
      <c r="L2314" s="1" cm="1">
        <f t="array" ref="L2314">SUMPRODUCT(ISNUMBER(SEARCH("SUP_ELCH2*",[2]OUT_SyntheticFuels!$C$4:$C$1000))*1,("var_ncap"=[2]OUT_SyntheticFuels!$B$4:$B$1000)*1,[2]OUT_SyntheticFuels!K$4:K$1000)</f>
        <v>2.4545518242330165E-2</v>
      </c>
      <c r="N2314" s="1"/>
    </row>
    <row r="2315" spans="2:14" x14ac:dyDescent="0.35">
      <c r="B2315" s="5" t="str">
        <f t="shared" si="2195"/>
        <v>SPS1</v>
      </c>
      <c r="C2315" s="5" t="str">
        <f t="shared" si="2196"/>
        <v>CH</v>
      </c>
      <c r="D2315" t="s">
        <v>2450</v>
      </c>
      <c r="E2315" t="s">
        <v>2154</v>
      </c>
      <c r="F2315" s="1">
        <f t="shared" ref="F2315:K2315" si="2197">F2314-F2316-F2317</f>
        <v>1.5806548997101099E-4</v>
      </c>
      <c r="G2315" s="1">
        <f t="shared" si="2197"/>
        <v>7.1831152273802197E-7</v>
      </c>
      <c r="H2315" s="1">
        <f t="shared" si="2197"/>
        <v>1.61230490527306E-6</v>
      </c>
      <c r="I2315" s="1">
        <f t="shared" si="2197"/>
        <v>2.3316023824777299E-4</v>
      </c>
      <c r="J2315" s="1">
        <f t="shared" si="2197"/>
        <v>4.22443324800665E-5</v>
      </c>
      <c r="K2315" s="1">
        <f t="shared" si="2197"/>
        <v>3.1103396318558002E-4</v>
      </c>
      <c r="L2315" s="1">
        <f t="shared" ref="L2315" si="2198">L2314-L2316-L2317</f>
        <v>2.45125045270355E-2</v>
      </c>
      <c r="N2315" s="1"/>
    </row>
    <row r="2316" spans="2:14" x14ac:dyDescent="0.35">
      <c r="B2316" s="5" t="str">
        <f t="shared" si="2195"/>
        <v>SPS1</v>
      </c>
      <c r="C2316" s="5" t="str">
        <f t="shared" si="2196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2.2215685835841602E-6</v>
      </c>
      <c r="J2316" s="1" cm="1">
        <f t="array" ref="J2316">SUMPRODUCT(ISNUMBER(SEARCH("SUP_ELCH2*D",[2]OUT_SyntheticFuels!$C$4:$C$1000))*1,("var_ncap"=[2]OUT_SyntheticFuels!$B$4:$B$1000)*1,[2]OUT_SyntheticFuels!I$4:I$1000)</f>
        <v>1.55375823619247E-6</v>
      </c>
      <c r="K2316" s="1" cm="1">
        <f t="array" ref="K2316">SUMPRODUCT(ISNUMBER(SEARCH("SUP_ELCH2*D",[2]OUT_SyntheticFuels!$C$4:$C$1000))*1,("var_ncap"=[2]OUT_SyntheticFuels!$B$4:$B$1000)*1,[2]OUT_SyntheticFuels!J$4:J$1000)</f>
        <v>2.3037441801557499E-5</v>
      </c>
      <c r="L2316" s="1" cm="1">
        <f t="array" ref="L2316">SUMPRODUCT(ISNUMBER(SEARCH("SUP_ELCH2*D",[2]OUT_SyntheticFuels!$C$4:$C$1000))*1,("var_ncap"=[2]OUT_SyntheticFuels!$B$4:$B$1000)*1,[2]OUT_SyntheticFuels!K$4:K$1000)</f>
        <v>2.2530012005786001E-6</v>
      </c>
      <c r="N2316" s="1"/>
    </row>
    <row r="2317" spans="2:14" x14ac:dyDescent="0.35">
      <c r="B2317" s="5" t="str">
        <f t="shared" si="2195"/>
        <v>SPS1</v>
      </c>
      <c r="C2317" s="5" t="str">
        <f t="shared" si="2196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5.2720073798798002E-5</v>
      </c>
      <c r="L2317" s="1" cm="1">
        <f t="array" ref="L2317">SUMPRODUCT(ISNUMBER(SEARCH("SUP_ELCH2*SOEC*",[2]OUT_SyntheticFuels!$C$4:$C$1000))*1,("var_ncap"=[2]OUT_SyntheticFuels!$B$4:$B$1000)*1,[2]OUT_SyntheticFuels!K$4:K$1000)</f>
        <v>3.0760714094086201E-5</v>
      </c>
      <c r="N2317" s="1"/>
    </row>
    <row r="2318" spans="2:14" x14ac:dyDescent="0.35">
      <c r="B2318" s="5" t="str">
        <f t="shared" si="2195"/>
        <v>SPS1</v>
      </c>
      <c r="C2318" s="5" t="str">
        <f t="shared" si="2196"/>
        <v>CH</v>
      </c>
      <c r="D2318" t="s">
        <v>2453</v>
      </c>
      <c r="E2318" t="s">
        <v>2154</v>
      </c>
      <c r="F2318" s="1">
        <f t="shared" ref="F2318:K2318" si="2199">SUM(F2319:F2320)</f>
        <v>0</v>
      </c>
      <c r="G2318" s="1">
        <f t="shared" si="2199"/>
        <v>0</v>
      </c>
      <c r="H2318" s="1">
        <f t="shared" si="2199"/>
        <v>0</v>
      </c>
      <c r="I2318" s="1">
        <f t="shared" si="2199"/>
        <v>1.02317145800669E-7</v>
      </c>
      <c r="J2318" s="1">
        <f t="shared" si="2199"/>
        <v>1.24554124550181E-7</v>
      </c>
      <c r="K2318" s="1">
        <f t="shared" si="2199"/>
        <v>1.4510052290000801E-7</v>
      </c>
      <c r="L2318" s="1">
        <f t="shared" ref="L2318" si="2200">SUM(L2319:L2320)</f>
        <v>1.5304327469597199E-5</v>
      </c>
      <c r="N2318" s="1"/>
    </row>
    <row r="2319" spans="2:14" x14ac:dyDescent="0.35">
      <c r="B2319" s="5" t="str">
        <f t="shared" si="2195"/>
        <v>SPS1</v>
      </c>
      <c r="C2319" s="5" t="str">
        <f t="shared" si="2196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1.02317145800669E-7</v>
      </c>
      <c r="J2319" s="1" cm="1">
        <f t="array" ref="J2319">SUMPRODUCT(ISNUMBER(SEARCH("SUP_NGAH2",[2]OUT_SyntheticFuels!$C$4:$C$1000))*1,("var_ncap"=[2]OUT_SyntheticFuels!$B$4:$B$1000)*1,[2]OUT_SyntheticFuels!I$4:I$1000)-J2320</f>
        <v>1.24554124550181E-7</v>
      </c>
      <c r="K2319" s="1" cm="1">
        <f t="array" ref="K2319">SUMPRODUCT(ISNUMBER(SEARCH("SUP_NGAH2",[2]OUT_SyntheticFuels!$C$4:$C$1000))*1,("var_ncap"=[2]OUT_SyntheticFuels!$B$4:$B$1000)*1,[2]OUT_SyntheticFuels!J$4:J$1000)-K2320</f>
        <v>1.4510052290000801E-7</v>
      </c>
      <c r="L2319" s="1" cm="1">
        <f t="array" ref="L2319">SUMPRODUCT(ISNUMBER(SEARCH("SUP_NGAH2",[2]OUT_SyntheticFuels!$C$4:$C$1000))*1,("var_ncap"=[2]OUT_SyntheticFuels!$B$4:$B$1000)*1,[2]OUT_SyntheticFuels!K$4:K$1000)-L2320</f>
        <v>1.5304327469597199E-5</v>
      </c>
      <c r="N2319" s="1"/>
    </row>
    <row r="2320" spans="2:14" x14ac:dyDescent="0.35">
      <c r="B2320" s="5" t="str">
        <f t="shared" si="2195"/>
        <v>SPS1</v>
      </c>
      <c r="C2320" s="5" t="str">
        <f t="shared" si="2196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5"/>
        <v>SPS1</v>
      </c>
      <c r="C2321" s="5" t="str">
        <f t="shared" si="2196"/>
        <v>CH</v>
      </c>
      <c r="D2321" t="s">
        <v>2456</v>
      </c>
      <c r="E2321" t="s">
        <v>2154</v>
      </c>
      <c r="F2321" s="1">
        <f t="shared" ref="F2321:K2321" si="2201">SUM(F2322:F2323)</f>
        <v>0</v>
      </c>
      <c r="G2321" s="1">
        <f t="shared" si="2201"/>
        <v>0</v>
      </c>
      <c r="H2321" s="1">
        <f t="shared" si="2201"/>
        <v>0</v>
      </c>
      <c r="I2321" s="1">
        <f t="shared" si="2201"/>
        <v>0</v>
      </c>
      <c r="J2321" s="1">
        <f t="shared" si="2201"/>
        <v>0</v>
      </c>
      <c r="K2321" s="1">
        <f t="shared" si="2201"/>
        <v>0</v>
      </c>
      <c r="L2321" s="1">
        <f t="shared" ref="L2321" si="2202">SUM(L2322:L2323)</f>
        <v>0</v>
      </c>
      <c r="N2321" s="1"/>
    </row>
    <row r="2322" spans="2:14" x14ac:dyDescent="0.35">
      <c r="B2322" s="5" t="str">
        <f t="shared" si="2195"/>
        <v>SPS1</v>
      </c>
      <c r="C2322" s="5" t="str">
        <f t="shared" si="2196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5"/>
        <v>SPS1</v>
      </c>
      <c r="C2323" s="5" t="str">
        <f t="shared" si="2196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5"/>
        <v>SPS1</v>
      </c>
      <c r="C2324" s="5" t="str">
        <f t="shared" si="2196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5"/>
        <v>SPS1</v>
      </c>
      <c r="C2325" s="5" t="str">
        <f t="shared" si="2196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1.09919795965141E-7</v>
      </c>
      <c r="G2325" s="7" cm="1">
        <f t="array" ref="G2325">SUMPRODUCT(("CT_CWODBDS"=[1]OUT_SyntheticFuels!$C$4:$C$1000)*1,("var_ncap"=[1]OUT_SyntheticFuels!$B$4:$B$1000)*1,[1]OUT_SyntheticFuels!F$4:F$1000)</f>
        <v>1.21079487461607E-7</v>
      </c>
      <c r="H2325" s="7" cm="1">
        <f t="array" ref="H2325">SUMPRODUCT(("CT_CWODBDS"=[1]OUT_SyntheticFuels!$C$4:$C$1000)*1,("var_ncap"=[1]OUT_SyntheticFuels!$B$4:$B$1000)*1,[1]OUT_SyntheticFuels!G$4:G$1000)</f>
        <v>1.15720917114841E-5</v>
      </c>
      <c r="I2325" s="7" cm="1">
        <f t="array" ref="I2325">SUMPRODUCT(("CT_CWODBDS"=[1]OUT_SyntheticFuels!$C$4:$C$1000)*1,("var_ncap"=[1]OUT_SyntheticFuels!$B$4:$B$1000)*1,[1]OUT_SyntheticFuels!H$4:H$1000)</f>
        <v>3.6016592608504697E-8</v>
      </c>
      <c r="J2325" s="7" cm="1">
        <f t="array" ref="J2325">SUMPRODUCT(("CT_CWODBDS"=[2]OUT_SyntheticFuels!$C$4:$C$1000)*1,("var_ncap"=[2]OUT_SyntheticFuels!$B$4:$B$1000)*1,[2]OUT_SyntheticFuels!I$4:I$1000)</f>
        <v>2.6920405085682002E-7</v>
      </c>
      <c r="K2325" s="7" cm="1">
        <f t="array" ref="K2325">SUMPRODUCT(("CT_CWODBDS"=[2]OUT_SyntheticFuels!$C$4:$C$1000)*1,("var_ncap"=[2]OUT_SyntheticFuels!$B$4:$B$1000)*1,[2]OUT_SyntheticFuels!J$4:J$1000)</f>
        <v>2.6268699511334501E-7</v>
      </c>
      <c r="L2325" s="7" cm="1">
        <f t="array" ref="L2325">SUMPRODUCT(("CT_CWODBDS"=[2]OUT_SyntheticFuels!$C$4:$C$1000)*1,("var_ncap"=[2]OUT_SyntheticFuels!$B$4:$B$1000)*1,[2]OUT_SyntheticFuels!K$4:K$1000)</f>
        <v>7.2964258788245695E-2</v>
      </c>
      <c r="N2325" s="1"/>
    </row>
    <row r="2326" spans="2:14" x14ac:dyDescent="0.35">
      <c r="B2326" s="5" t="str">
        <f t="shared" si="2195"/>
        <v>SPS1</v>
      </c>
      <c r="C2326" s="5" t="str">
        <f t="shared" si="2196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5"/>
        <v>SPS1</v>
      </c>
      <c r="C2327" s="5" t="str">
        <f t="shared" si="2196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6.53762456183126E-3</v>
      </c>
      <c r="G2327" s="7" cm="1">
        <f t="array" ref="G2327">SUMPRODUCT(("CT_CWODETH"=[1]OUT_SyntheticFuels!$C$4:$C$1000)*1,("var_ncap"=[1]OUT_SyntheticFuels!$B$4:$B$1000)*1,[1]OUT_SyntheticFuels!F$4:F$1000)</f>
        <v>6.4907900130055698E-8</v>
      </c>
      <c r="H2327" s="7" cm="1">
        <f t="array" ref="H2327">SUMPRODUCT(("CT_CWODETH"=[1]OUT_SyntheticFuels!$C$4:$C$1000)*1,("var_ncap"=[1]OUT_SyntheticFuels!$B$4:$B$1000)*1,[1]OUT_SyntheticFuels!G$4:G$1000)</f>
        <v>1.44811632748583E-7</v>
      </c>
      <c r="I2327" s="7" cm="1">
        <f t="array" ref="I2327">SUMPRODUCT(("CT_CWODETH"=[1]OUT_SyntheticFuels!$C$4:$C$1000)*1,("var_ncap"=[1]OUT_SyntheticFuels!$B$4:$B$1000)*1,[1]OUT_SyntheticFuels!H$4:H$1000)</f>
        <v>4.8667953545739997E-8</v>
      </c>
      <c r="J2327" s="7" cm="1">
        <f t="array" ref="J2327">SUMPRODUCT(("CT_CWODETH"=[2]OUT_SyntheticFuels!$C$4:$C$1000)*1,("var_ncap"=[2]OUT_SyntheticFuels!$B$4:$B$1000)*1,[2]OUT_SyntheticFuels!I$4:I$1000)</f>
        <v>1.02623919830132E-7</v>
      </c>
      <c r="K2327" s="7" cm="1">
        <f t="array" ref="K2327">SUMPRODUCT(("CT_CWODETH"=[2]OUT_SyntheticFuels!$C$4:$C$1000)*1,("var_ncap"=[2]OUT_SyntheticFuels!$B$4:$B$1000)*1,[2]OUT_SyntheticFuels!J$4:J$1000)</f>
        <v>8.9816763223417797E-7</v>
      </c>
      <c r="L2327" s="7" cm="1">
        <f t="array" ref="L2327">SUMPRODUCT(("CT_CWODETH"=[2]OUT_SyntheticFuels!$C$4:$C$1000)*1,("var_ncap"=[2]OUT_SyntheticFuels!$B$4:$B$1000)*1,[2]OUT_SyntheticFuels!K$4:K$1000)</f>
        <v>2.4024913459862599E-6</v>
      </c>
      <c r="N2327" s="1"/>
    </row>
    <row r="2328" spans="2:14" x14ac:dyDescent="0.35">
      <c r="B2328" s="5" t="str">
        <f t="shared" si="2195"/>
        <v>SPS1</v>
      </c>
      <c r="C2328" s="5" t="str">
        <f t="shared" si="2196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5"/>
        <v>SPS1</v>
      </c>
      <c r="C2329" s="5" t="str">
        <f t="shared" si="2196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4.9292721705983103E-2</v>
      </c>
      <c r="G2329" s="7" cm="1">
        <f t="array" ref="G2329">SUMPRODUCT(("SUP_MNRBIO"=[1]OUT_SyntheticFuels!$C$4:$C$1000)*1,("var_ncap"=[1]OUT_SyntheticFuels!$B$4:$B$1000)*1,[1]OUT_SyntheticFuels!F$4:F$1000)</f>
        <v>0.107604727808033</v>
      </c>
      <c r="H2329" s="7" cm="1">
        <f t="array" ref="H2329">SUMPRODUCT(("SUP_MNRBIO"=[1]OUT_SyntheticFuels!$C$4:$C$1000)*1,("var_ncap"=[1]OUT_SyntheticFuels!$B$4:$B$1000)*1,[1]OUT_SyntheticFuels!G$4:G$1000)</f>
        <v>5.5005056520254598E-3</v>
      </c>
      <c r="I2329" s="7" cm="1">
        <f t="array" ref="I2329">SUMPRODUCT(("SUP_MNRBIO"=[1]OUT_SyntheticFuels!$C$4:$C$1000)*1,("var_ncap"=[1]OUT_SyntheticFuels!$B$4:$B$1000)*1,[1]OUT_SyntheticFuels!H$4:H$1000)</f>
        <v>1.4650348209991701E-6</v>
      </c>
      <c r="J2329" s="7" cm="1">
        <f t="array" ref="J2329">SUMPRODUCT(("SUP_MNRBIO"=[2]OUT_SyntheticFuels!$C$4:$C$1000)*1,("var_ncap"=[2]OUT_SyntheticFuels!$B$4:$B$1000)*1,[2]OUT_SyntheticFuels!I$4:I$1000)</f>
        <v>8.5579800358646495E-7</v>
      </c>
      <c r="K2329" s="7" cm="1">
        <f t="array" ref="K2329">SUMPRODUCT(("SUP_MNRBIO"=[2]OUT_SyntheticFuels!$C$4:$C$1000)*1,("var_ncap"=[2]OUT_SyntheticFuels!$B$4:$B$1000)*1,[2]OUT_SyntheticFuels!J$4:J$1000)</f>
        <v>7.86057348107079E-2</v>
      </c>
      <c r="L2329" s="7" cm="1">
        <f t="array" ref="L2329">SUMPRODUCT(("SUP_MNRBIO"=[2]OUT_SyntheticFuels!$C$4:$C$1000)*1,("var_ncap"=[2]OUT_SyntheticFuels!$B$4:$B$1000)*1,[2]OUT_SyntheticFuels!K$4:K$1000)</f>
        <v>8.3804886102164203E-2</v>
      </c>
      <c r="N2329" s="1"/>
    </row>
    <row r="2330" spans="2:14" x14ac:dyDescent="0.35">
      <c r="B2330" s="5" t="str">
        <f t="shared" si="2195"/>
        <v>SPS1</v>
      </c>
      <c r="C2330" s="5" t="str">
        <f t="shared" si="2196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4.0965783086815101E-3</v>
      </c>
      <c r="G2330" s="7" cm="1">
        <f t="array" ref="G2330">SUMPRODUCT(("SUP_WSTBIO"=[1]OUT_SyntheticFuels!$C$4:$C$1000)*1,("var_ncap"=[1]OUT_SyntheticFuels!$B$4:$B$1000)*1,[1]OUT_SyntheticFuels!F$4:F$1000)</f>
        <v>2.2999708816926201E-2</v>
      </c>
      <c r="H2330" s="7" cm="1">
        <f t="array" ref="H2330">SUMPRODUCT(("SUP_WSTBIO"=[1]OUT_SyntheticFuels!$C$4:$C$1000)*1,("var_ncap"=[1]OUT_SyntheticFuels!$B$4:$B$1000)*1,[1]OUT_SyntheticFuels!G$4:G$1000)</f>
        <v>1.5629909226362601E-7</v>
      </c>
      <c r="I2330" s="7" cm="1">
        <f t="array" ref="I2330">SUMPRODUCT(("SUP_WSTBIO"=[1]OUT_SyntheticFuels!$C$4:$C$1000)*1,("var_ncap"=[1]OUT_SyntheticFuels!$B$4:$B$1000)*1,[1]OUT_SyntheticFuels!H$4:H$1000)</f>
        <v>7.2849331956473196E-2</v>
      </c>
      <c r="J2330" s="7" cm="1">
        <f t="array" ref="J2330">SUMPRODUCT(("SUP_WSTBIO"=[2]OUT_SyntheticFuels!$C$4:$C$1000)*1,("var_ncap"=[2]OUT_SyntheticFuels!$B$4:$B$1000)*1,[2]OUT_SyntheticFuels!I$4:I$1000)</f>
        <v>0.116853926606914</v>
      </c>
      <c r="K2330" s="7" cm="1">
        <f t="array" ref="K2330">SUMPRODUCT(("SUP_WSTBIO"=[2]OUT_SyntheticFuels!$C$4:$C$1000)*1,("var_ncap"=[2]OUT_SyntheticFuels!$B$4:$B$1000)*1,[2]OUT_SyntheticFuels!J$4:J$1000)</f>
        <v>1.7779923987800698E-2</v>
      </c>
      <c r="L2330" s="7" cm="1">
        <f t="array" ref="L2330">SUMPRODUCT(("SUP_WSTBIO"=[2]OUT_SyntheticFuels!$C$4:$C$1000)*1,("var_ncap"=[2]OUT_SyntheticFuels!$B$4:$B$1000)*1,[2]OUT_SyntheticFuels!K$4:K$1000)</f>
        <v>7.0722843857581902E-2</v>
      </c>
      <c r="N2330" s="1"/>
    </row>
    <row r="2331" spans="2:14" x14ac:dyDescent="0.35">
      <c r="B2331" s="5" t="str">
        <f t="shared" si="2195"/>
        <v>SPS1</v>
      </c>
      <c r="C2331" s="5" t="str">
        <f t="shared" si="2196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5"/>
        <v>SPS1</v>
      </c>
      <c r="C2332" s="5" t="str">
        <f t="shared" si="2196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3.2629697138725101E-6</v>
      </c>
      <c r="L2332" s="7" cm="1">
        <f t="array" ref="L2332">SUMPRODUCT(("SUP_WSTHTGBIO"=[2]OUT_SyntheticFuels!$C$4:$C$1000)*1,("var_ncap"=[2]OUT_SyntheticFuels!$B$4:$B$1000)*1,[2]OUT_SyntheticFuels!K$4:K$1000)</f>
        <v>1.1483389284124699E-8</v>
      </c>
      <c r="N2332" s="1"/>
    </row>
    <row r="2333" spans="2:14" x14ac:dyDescent="0.35">
      <c r="B2333" s="5" t="str">
        <f t="shared" si="2195"/>
        <v>SPS1</v>
      </c>
      <c r="C2333" s="5" t="str">
        <f t="shared" si="2196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5"/>
        <v>SPS1</v>
      </c>
      <c r="C2334" s="5" t="str">
        <f t="shared" si="2196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1.6515617230208301E-7</v>
      </c>
      <c r="G2334" s="7" cm="1">
        <f t="array" ref="G2334">SUMPRODUCT(("SUP_WODBIO"=[1]OUT_SyntheticFuels!$C$4:$C$1000)*1,("var_ncap"=[1]OUT_SyntheticFuels!$B$4:$B$1000)*1,[1]OUT_SyntheticFuels!F$4:F$1000)</f>
        <v>7.71765422465545E-6</v>
      </c>
      <c r="H2334" s="7" cm="1">
        <f t="array" ref="H2334">SUMPRODUCT(("SUP_WODBIO"=[1]OUT_SyntheticFuels!$C$4:$C$1000)*1,("var_ncap"=[1]OUT_SyntheticFuels!$B$4:$B$1000)*1,[1]OUT_SyntheticFuels!G$4:G$1000)</f>
        <v>3.9428735470364901E-7</v>
      </c>
      <c r="I2334" s="7" cm="1">
        <f t="array" ref="I2334">SUMPRODUCT(("SUP_WODBIO"=[1]OUT_SyntheticFuels!$C$4:$C$1000)*1,("var_ncap"=[1]OUT_SyntheticFuels!$B$4:$B$1000)*1,[1]OUT_SyntheticFuels!H$4:H$1000)</f>
        <v>6.9886470906497696E-8</v>
      </c>
      <c r="J2334" s="7" cm="1">
        <f t="array" ref="J2334">SUMPRODUCT(("SUP_WODBIO"=[2]OUT_SyntheticFuels!$C$4:$C$1000)*1,("var_ncap"=[2]OUT_SyntheticFuels!$B$4:$B$1000)*1,[2]OUT_SyntheticFuels!I$4:I$1000)</f>
        <v>1.2814144703102901E-6</v>
      </c>
      <c r="K2334" s="7" cm="1">
        <f t="array" ref="K2334">SUMPRODUCT(("SUP_WODBIO"=[2]OUT_SyntheticFuels!$C$4:$C$1000)*1,("var_ncap"=[2]OUT_SyntheticFuels!$B$4:$B$1000)*1,[2]OUT_SyntheticFuels!J$4:J$1000)</f>
        <v>1.0408011825654101E-6</v>
      </c>
      <c r="L2334" s="7" cm="1">
        <f t="array" ref="L2334">SUMPRODUCT(("SUP_WODBIO"=[2]OUT_SyntheticFuels!$C$4:$C$1000)*1,("var_ncap"=[2]OUT_SyntheticFuels!$B$4:$B$1000)*1,[2]OUT_SyntheticFuels!K$4:K$1000)</f>
        <v>1.17537152836633E-6</v>
      </c>
      <c r="N2334" s="1"/>
    </row>
    <row r="2335" spans="2:14" x14ac:dyDescent="0.35">
      <c r="B2335" s="5" t="str">
        <f t="shared" si="2195"/>
        <v>SPS1</v>
      </c>
      <c r="C2335" s="5" t="str">
        <f t="shared" si="2196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5"/>
        <v>SPS1</v>
      </c>
      <c r="C2336" s="5" t="str">
        <f t="shared" si="2196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1.43337840048123E-2</v>
      </c>
      <c r="G2336" s="7" cm="1">
        <f t="array" ref="G2336">SUMPRODUCT(("SUP_BIONGA"=[1]OUT_SyntheticFuels!$C$4:$C$1000)*1,("var_ncap"=[1]OUT_SyntheticFuels!$B$4:$B$1000)*1,[1]OUT_SyntheticFuels!F$4:F$1000)</f>
        <v>9.6981817579711901E-2</v>
      </c>
      <c r="H2336" s="7" cm="1">
        <f t="array" ref="H2336">SUMPRODUCT(("SUP_BIONGA"=[1]OUT_SyntheticFuels!$C$4:$C$1000)*1,("var_ncap"=[1]OUT_SyntheticFuels!$B$4:$B$1000)*1,[1]OUT_SyntheticFuels!G$4:G$1000)</f>
        <v>9.66995290516673E-8</v>
      </c>
      <c r="I2336" s="7" cm="1">
        <f t="array" ref="I2336">SUMPRODUCT(("SUP_BIONGA"=[1]OUT_SyntheticFuels!$C$4:$C$1000)*1,("var_ncap"=[1]OUT_SyntheticFuels!$B$4:$B$1000)*1,[1]OUT_SyntheticFuels!H$4:H$1000)</f>
        <v>4.42755026305989E-7</v>
      </c>
      <c r="J2336" s="7" cm="1">
        <f t="array" ref="J2336">SUMPRODUCT(("SUP_BIONGA"=[2]OUT_SyntheticFuels!$C$4:$C$1000)*1,("var_ncap"=[2]OUT_SyntheticFuels!$B$4:$B$1000)*1,[2]OUT_SyntheticFuels!I$4:I$1000)</f>
        <v>9.0802405101596904E-3</v>
      </c>
      <c r="K2336" s="7" cm="1">
        <f t="array" ref="K2336">SUMPRODUCT(("SUP_BIONGA"=[2]OUT_SyntheticFuels!$C$4:$C$1000)*1,("var_ncap"=[2]OUT_SyntheticFuels!$B$4:$B$1000)*1,[2]OUT_SyntheticFuels!J$4:J$1000)</f>
        <v>5.0275557739597299E-2</v>
      </c>
      <c r="L2336" s="7" cm="1">
        <f t="array" ref="L2336">SUMPRODUCT(("SUP_BIONGA"=[2]OUT_SyntheticFuels!$C$4:$C$1000)*1,("var_ncap"=[2]OUT_SyntheticFuels!$B$4:$B$1000)*1,[2]OUT_SyntheticFuels!K$4:K$1000)</f>
        <v>4.61842742307896E-2</v>
      </c>
      <c r="N2336" s="1"/>
    </row>
    <row r="2337" spans="2:14" x14ac:dyDescent="0.35">
      <c r="B2337" s="5" t="str">
        <f t="shared" si="2195"/>
        <v>SPS1</v>
      </c>
      <c r="C2337" s="5" t="str">
        <f t="shared" si="2196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0.15270062878561799</v>
      </c>
      <c r="G2337" s="7" cm="1">
        <f t="array" ref="G2337">SUMPRODUCT(("CT_CWODPLT"=[1]OUT_SyntheticFuels!$C$4:$C$1000)*1,("var_ncap"=[1]OUT_SyntheticFuels!$B$4:$B$1000)*1,[1]OUT_SyntheticFuels!F$4:F$1000)</f>
        <v>5.4950146139535999E-2</v>
      </c>
      <c r="H2337" s="7" cm="1">
        <f t="array" ref="H2337">SUMPRODUCT(("CT_CWODPLT"=[1]OUT_SyntheticFuels!$C$4:$C$1000)*1,("var_ncap"=[1]OUT_SyntheticFuels!$B$4:$B$1000)*1,[1]OUT_SyntheticFuels!G$4:G$1000)</f>
        <v>2.0969717589215799E-7</v>
      </c>
      <c r="I2337" s="7" cm="1">
        <f t="array" ref="I2337">SUMPRODUCT(("CT_CWODPLT"=[1]OUT_SyntheticFuels!$C$4:$C$1000)*1,("var_ncap"=[1]OUT_SyntheticFuels!$B$4:$B$1000)*1,[1]OUT_SyntheticFuels!H$4:H$1000)</f>
        <v>2.8390946147404899E-7</v>
      </c>
      <c r="J2337" s="7" cm="1">
        <f t="array" ref="J2337">SUMPRODUCT(("CT_CWODPLT"=[2]OUT_SyntheticFuels!$C$4:$C$1000)*1,("var_ncap"=[2]OUT_SyntheticFuels!$B$4:$B$1000)*1,[2]OUT_SyntheticFuels!I$4:I$1000)</f>
        <v>7.49029239534031E-7</v>
      </c>
      <c r="K2337" s="7" cm="1">
        <f t="array" ref="K2337">SUMPRODUCT(("CT_CWODPLT"=[2]OUT_SyntheticFuels!$C$4:$C$1000)*1,("var_ncap"=[2]OUT_SyntheticFuels!$B$4:$B$1000)*1,[2]OUT_SyntheticFuels!J$4:J$1000)</f>
        <v>0.12451426727153</v>
      </c>
      <c r="L2337" s="7" cm="1">
        <f t="array" ref="L2337">SUMPRODUCT(("CT_CWODPLT"=[2]OUT_SyntheticFuels!$C$4:$C$1000)*1,("var_ncap"=[2]OUT_SyntheticFuels!$B$4:$B$1000)*1,[2]OUT_SyntheticFuels!K$4:K$1000)</f>
        <v>0.107983878283837</v>
      </c>
      <c r="N2337" s="1"/>
    </row>
    <row r="2338" spans="2:14" x14ac:dyDescent="0.35">
      <c r="B2338" s="5" t="str">
        <f t="shared" si="2195"/>
        <v>SPS1</v>
      </c>
      <c r="C2338" s="5" t="str">
        <f t="shared" si="2196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2.47139804778945E-7</v>
      </c>
      <c r="J2338" s="7" cm="1">
        <f t="array" ref="J2338">SUMPRODUCT(("SUP_H2NGA"=[2]OUT_SyntheticFuels!$C$4:$C$1000)*1,("var_ncap"=[2]OUT_SyntheticFuels!$B$4:$B$1000)*1,[2]OUT_SyntheticFuels!I$4:I$1000)</f>
        <v>8.4540169158853404E-7</v>
      </c>
      <c r="K2338" s="7" cm="1">
        <f t="array" ref="K2338">SUMPRODUCT(("SUP_H2NGA"=[2]OUT_SyntheticFuels!$C$4:$C$1000)*1,("var_ncap"=[2]OUT_SyntheticFuels!$B$4:$B$1000)*1,[2]OUT_SyntheticFuels!J$4:J$1000)</f>
        <v>9.0342559608032998E-8</v>
      </c>
      <c r="L2338" s="7" cm="1">
        <f t="array" ref="L2338">SUMPRODUCT(("SUP_H2NGA"=[2]OUT_SyntheticFuels!$C$4:$C$1000)*1,("var_ncap"=[2]OUT_SyntheticFuels!$B$4:$B$1000)*1,[2]OUT_SyntheticFuels!K$4:K$1000)</f>
        <v>6.1012710172632897E-8</v>
      </c>
      <c r="N2338" s="1"/>
    </row>
    <row r="2339" spans="2:14" x14ac:dyDescent="0.35">
      <c r="B2339" s="5" t="str">
        <f t="shared" si="2195"/>
        <v>SPS1</v>
      </c>
      <c r="C2339" s="5" t="str">
        <f t="shared" si="2196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1.39743624246969E-7</v>
      </c>
      <c r="J2339" s="7" cm="1">
        <f t="array" ref="J2339">SUMPRODUCT(("SUP_H2DSL"=[2]OUT_SyntheticFuels!$C$4:$C$1000)*1,("var_ncap"=[2]OUT_SyntheticFuels!$B$4:$B$1000)*1,[2]OUT_SyntheticFuels!I$4:I$1000)</f>
        <v>3.4312466565063999E-7</v>
      </c>
      <c r="K2339" s="7" cm="1">
        <f t="array" ref="K2339">SUMPRODUCT(("SUP_H2DSL"=[2]OUT_SyntheticFuels!$C$4:$C$1000)*1,("var_ncap"=[2]OUT_SyntheticFuels!$B$4:$B$1000)*1,[2]OUT_SyntheticFuels!J$4:J$1000)</f>
        <v>1.43618899526591E-7</v>
      </c>
      <c r="L2339" s="7" cm="1">
        <f t="array" ref="L2339">SUMPRODUCT(("SUP_H2DSL"=[2]OUT_SyntheticFuels!$C$4:$C$1000)*1,("var_ncap"=[2]OUT_SyntheticFuels!$B$4:$B$1000)*1,[2]OUT_SyntheticFuels!K$4:K$1000)</f>
        <v>1.48795674976357E-7</v>
      </c>
      <c r="N2339" s="1"/>
    </row>
    <row r="2340" spans="2:14" x14ac:dyDescent="0.35">
      <c r="B2340" s="5" t="str">
        <f t="shared" si="2195"/>
        <v>SPS1</v>
      </c>
      <c r="C2340" s="5" t="str">
        <f t="shared" si="2196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1.7441374784926599E-7</v>
      </c>
      <c r="J2340" s="7" cm="1">
        <f t="array" ref="J2340">SUMPRODUCT(("SUP_H2GSL"=[2]OUT_SyntheticFuels!$C$4:$C$1000)*1,("var_ncap"=[2]OUT_SyntheticFuels!$B$4:$B$1000)*1,[2]OUT_SyntheticFuels!I$4:I$1000)</f>
        <v>3.5450647993901099E-7</v>
      </c>
      <c r="K2340" s="7" cm="1">
        <f t="array" ref="K2340">SUMPRODUCT(("SUP_H2GSL"=[2]OUT_SyntheticFuels!$C$4:$C$1000)*1,("var_ncap"=[2]OUT_SyntheticFuels!$B$4:$B$1000)*1,[2]OUT_SyntheticFuels!J$4:J$1000)</f>
        <v>1.3279069077493001E-7</v>
      </c>
      <c r="L2340" s="7" cm="1">
        <f t="array" ref="L2340">SUMPRODUCT(("SUP_H2GSL"=[2]OUT_SyntheticFuels!$C$4:$C$1000)*1,("var_ncap"=[2]OUT_SyntheticFuels!$B$4:$B$1000)*1,[2]OUT_SyntheticFuels!K$4:K$1000)</f>
        <v>1.01088439341329E-7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715.97461265641698</v>
      </c>
      <c r="D3" s="3">
        <f t="shared" ref="D3:H3" si="0">SUM(D4:D7)</f>
        <v>703.84059892403252</v>
      </c>
      <c r="E3" s="3">
        <f t="shared" si="0"/>
        <v>691.24611369828222</v>
      </c>
      <c r="F3" s="3">
        <f t="shared" si="0"/>
        <v>637.80901548014231</v>
      </c>
      <c r="G3" s="3">
        <f t="shared" si="0"/>
        <v>601.8016258200488</v>
      </c>
      <c r="H3" s="3">
        <f t="shared" si="0"/>
        <v>587.53866974126947</v>
      </c>
    </row>
    <row r="4" spans="2:8" x14ac:dyDescent="0.35">
      <c r="B4" s="25" t="s">
        <v>1727</v>
      </c>
      <c r="C4" s="1">
        <f>SPS4_NUC_High!F763</f>
        <v>142.21742137193101</v>
      </c>
      <c r="D4" s="1">
        <f>SPS4_NUC_High!G763</f>
        <v>142.72239583602445</v>
      </c>
      <c r="E4" s="1">
        <f>SPS4_NUC_High!H763</f>
        <v>148.56509218034034</v>
      </c>
      <c r="F4" s="1">
        <f>SPS4_NUC_High!I763</f>
        <v>149.71092027584598</v>
      </c>
      <c r="G4" s="1">
        <f>SPS4_NUC_High!J763</f>
        <v>150.92874300565765</v>
      </c>
      <c r="H4" s="1">
        <f>SPS4_NUC_High!K763</f>
        <v>151.40208241282741</v>
      </c>
    </row>
    <row r="5" spans="2:8" x14ac:dyDescent="0.35">
      <c r="B5" s="25" t="s">
        <v>1728</v>
      </c>
      <c r="C5" s="1">
        <f>SPS4_NUC_High!F882</f>
        <v>140.10108752733348</v>
      </c>
      <c r="D5" s="1">
        <f>SPS4_NUC_High!G882</f>
        <v>139.66588167652515</v>
      </c>
      <c r="E5" s="1">
        <f>SPS4_NUC_High!H882</f>
        <v>133.5131325007402</v>
      </c>
      <c r="F5" s="1">
        <f>SPS4_NUC_High!I882</f>
        <v>128.68311789690688</v>
      </c>
      <c r="G5" s="1">
        <f>SPS4_NUC_High!J882</f>
        <v>124.89396076486133</v>
      </c>
      <c r="H5" s="1">
        <f>SPS4_NUC_High!K882</f>
        <v>121.13680480537826</v>
      </c>
    </row>
    <row r="6" spans="2:8" x14ac:dyDescent="0.35">
      <c r="B6" s="25" t="s">
        <v>1729</v>
      </c>
      <c r="C6" s="1">
        <f>SPS4_NUC_High!F972</f>
        <v>219.91228261839149</v>
      </c>
      <c r="D6" s="1">
        <f>SPS4_NUC_High!G972</f>
        <v>216.99271107214253</v>
      </c>
      <c r="E6" s="1">
        <f>SPS4_NUC_High!H972</f>
        <v>220.35317449240327</v>
      </c>
      <c r="F6" s="1">
        <f>SPS4_NUC_High!I972</f>
        <v>211.18258740720438</v>
      </c>
      <c r="G6" s="1">
        <f>SPS4_NUC_High!J972</f>
        <v>204.42032557824001</v>
      </c>
      <c r="H6" s="1">
        <f>SPS4_NUC_High!K972</f>
        <v>199.60752883789544</v>
      </c>
    </row>
    <row r="7" spans="2:8" x14ac:dyDescent="0.35">
      <c r="B7" s="25" t="s">
        <v>1730</v>
      </c>
      <c r="C7" s="1">
        <f>SPS4_NUC_High!F1136+SPS4_NUC_High!F1315+SPS4_NUC_High!F1399+SPS4_NUC_High!F1483+SPS4_NUC_High!F1490+SPS4_NUC_High!F1497+SPS4_NUC_High!F1546+SPS4_NUC_High!F1593+SPS4_NUC_High!F1640</f>
        <v>213.74382113876101</v>
      </c>
      <c r="D7" s="1">
        <f>SPS4_NUC_High!G1136+SPS4_NUC_High!G1315+SPS4_NUC_High!G1399+SPS4_NUC_High!G1483+SPS4_NUC_High!G1490+SPS4_NUC_High!G1497+SPS4_NUC_High!G1546+SPS4_NUC_High!G1593+SPS4_NUC_High!G1640</f>
        <v>204.45961033934043</v>
      </c>
      <c r="E7" s="1">
        <f>SPS4_NUC_High!H1136+SPS4_NUC_High!H1315+SPS4_NUC_High!H1399+SPS4_NUC_High!H1483+SPS4_NUC_High!H1490+SPS4_NUC_High!H1497+SPS4_NUC_High!H1546+SPS4_NUC_High!H1593+SPS4_NUC_High!H1640</f>
        <v>188.81471452479838</v>
      </c>
      <c r="F7" s="1">
        <f>SPS4_NUC_High!I1136+SPS4_NUC_High!I1315+SPS4_NUC_High!I1399+SPS4_NUC_High!I1483+SPS4_NUC_High!I1490+SPS4_NUC_High!I1497+SPS4_NUC_High!I1546+SPS4_NUC_High!I1593+SPS4_NUC_High!I1640</f>
        <v>148.23238990018501</v>
      </c>
      <c r="G7" s="1">
        <f>SPS4_NUC_High!J1136+SPS4_NUC_High!J1315+SPS4_NUC_High!J1399+SPS4_NUC_High!J1483+SPS4_NUC_High!J1490+SPS4_NUC_High!J1497+SPS4_NUC_High!J1546+SPS4_NUC_High!J1593+SPS4_NUC_High!J1640</f>
        <v>121.5585964712898</v>
      </c>
      <c r="H7" s="1">
        <f>SPS4_NUC_High!K1136+SPS4_NUC_High!K1315+SPS4_NUC_High!K1399+SPS4_NUC_High!K1483+SPS4_NUC_High!K1490+SPS4_NUC_High!K1497+SPS4_NUC_High!K1546+SPS4_NUC_High!K1593+SPS4_NUC_High!K1640</f>
        <v>115.39225368516838</v>
      </c>
    </row>
    <row r="8" spans="2:8" x14ac:dyDescent="0.35">
      <c r="B8" s="2" t="s">
        <v>1735</v>
      </c>
      <c r="C8" s="3">
        <f>SUM(C9:C12)</f>
        <v>509.61966280407177</v>
      </c>
      <c r="D8" s="3">
        <f t="shared" ref="D8:H8" si="1">SUM(D9:D12)</f>
        <v>499.1981881217298</v>
      </c>
      <c r="E8" s="3">
        <f t="shared" si="1"/>
        <v>508.42264283137501</v>
      </c>
      <c r="F8" s="3">
        <f t="shared" si="1"/>
        <v>512.31182221549977</v>
      </c>
      <c r="G8" s="3">
        <f t="shared" si="1"/>
        <v>496.13436137294843</v>
      </c>
      <c r="H8" s="3">
        <f t="shared" si="1"/>
        <v>499.60128498639881</v>
      </c>
    </row>
    <row r="9" spans="2:8" x14ac:dyDescent="0.35">
      <c r="B9" s="25" t="s">
        <v>1732</v>
      </c>
      <c r="C9" s="1">
        <f>SPS4_NUC_High!F291+SPS4_NUC_High!F409</f>
        <v>493.39818123662951</v>
      </c>
      <c r="D9" s="1">
        <f>SPS4_NUC_High!G291+SPS4_NUC_High!G409</f>
        <v>474.49247308353694</v>
      </c>
      <c r="E9" s="1">
        <f>SPS4_NUC_High!H291+SPS4_NUC_High!H409</f>
        <v>481.14070253490553</v>
      </c>
      <c r="F9" s="1">
        <f>SPS4_NUC_High!I291+SPS4_NUC_High!I409</f>
        <v>489.07483644749004</v>
      </c>
      <c r="G9" s="1">
        <f>SPS4_NUC_High!J291+SPS4_NUC_High!J409</f>
        <v>473.62973236785842</v>
      </c>
      <c r="H9" s="1">
        <f>SPS4_NUC_High!K291+SPS4_NUC_High!K409</f>
        <v>477.37237750497184</v>
      </c>
    </row>
    <row r="10" spans="2:8" x14ac:dyDescent="0.35">
      <c r="B10" s="25" t="s">
        <v>1733</v>
      </c>
      <c r="C10" s="1">
        <f>SPS4_NUC_High!F590+SPS4_NUC_High!F604+SPS4_NUC_High!F644</f>
        <v>16.217753265353274</v>
      </c>
      <c r="D10" s="1">
        <f>SPS4_NUC_High!G590+SPS4_NUC_High!G604+SPS4_NUC_High!G644</f>
        <v>24.701967179088101</v>
      </c>
      <c r="E10" s="1">
        <f>SPS4_NUC_High!H590+SPS4_NUC_High!H604+SPS4_NUC_High!H644</f>
        <v>27.278264572351635</v>
      </c>
      <c r="F10" s="1">
        <f>SPS4_NUC_High!I590+SPS4_NUC_High!I604+SPS4_NUC_High!I644</f>
        <v>23.233423766363838</v>
      </c>
      <c r="G10" s="1">
        <f>SPS4_NUC_High!J590+SPS4_NUC_High!J604+SPS4_NUC_High!J644</f>
        <v>22.498181891618614</v>
      </c>
      <c r="H10" s="1">
        <f>SPS4_NUC_High!K590+SPS4_NUC_High!K604+SPS4_NUC_High!K644</f>
        <v>22.22276325181258</v>
      </c>
    </row>
    <row r="11" spans="2:8" x14ac:dyDescent="0.35">
      <c r="B11" s="25" t="s">
        <v>1731</v>
      </c>
      <c r="C11" s="1">
        <f>SPS4_NUC_High!F679</f>
        <v>3.7283020889651475E-3</v>
      </c>
      <c r="D11" s="1">
        <f>SPS4_NUC_High!G679</f>
        <v>3.7478591047755958E-3</v>
      </c>
      <c r="E11" s="1">
        <f>SPS4_NUC_High!H679</f>
        <v>3.6757241178569161E-3</v>
      </c>
      <c r="F11" s="1">
        <f>SPS4_NUC_High!I679</f>
        <v>3.5620016459280658E-3</v>
      </c>
      <c r="G11" s="1">
        <f>SPS4_NUC_High!J679</f>
        <v>6.4471134713862096E-3</v>
      </c>
      <c r="H11" s="1">
        <f>SPS4_NUC_High!K679</f>
        <v>6.1442296143893191E-3</v>
      </c>
    </row>
    <row r="12" spans="2:8" x14ac:dyDescent="0.35">
      <c r="B12" s="25" t="s">
        <v>1734</v>
      </c>
      <c r="C12" s="1">
        <f>SPS4_NUC_High!F1707</f>
        <v>0</v>
      </c>
      <c r="D12" s="1">
        <f>SPS4_NUC_High!G1707</f>
        <v>0</v>
      </c>
      <c r="E12" s="1">
        <f>SPS4_NUC_High!H1707</f>
        <v>0</v>
      </c>
      <c r="F12" s="1">
        <f>SPS4_NUC_High!I1707</f>
        <v>0</v>
      </c>
      <c r="G12" s="1">
        <f>SPS4_NUC_High!J1707</f>
        <v>0</v>
      </c>
      <c r="H12" s="1">
        <f>SPS4_NUC_High!K1707</f>
        <v>0</v>
      </c>
    </row>
    <row r="13" spans="2:8" x14ac:dyDescent="0.35">
      <c r="B13" s="2" t="s">
        <v>1736</v>
      </c>
      <c r="C13" s="3">
        <f>SPS4_NUC_High!F2+SPS4_NUC_High!F20-SPS4_NUC_High!F57</f>
        <v>962.31272231376033</v>
      </c>
      <c r="D13" s="3">
        <f>SPS4_NUC_High!G2+SPS4_NUC_High!G20-SPS4_NUC_High!G57</f>
        <v>960.6792909938348</v>
      </c>
      <c r="E13" s="3">
        <f>SPS4_NUC_High!H2+SPS4_NUC_High!H20-SPS4_NUC_High!H57</f>
        <v>913.07081825763214</v>
      </c>
      <c r="F13" s="3">
        <f>SPS4_NUC_High!I2+SPS4_NUC_High!I20-SPS4_NUC_High!I57</f>
        <v>864.17176047983025</v>
      </c>
      <c r="G13" s="3">
        <f>SPS4_NUC_High!J2+SPS4_NUC_High!J20-SPS4_NUC_High!J57</f>
        <v>818.61097345404301</v>
      </c>
      <c r="H13" s="3">
        <f>SPS4_NUC_High!K2+SPS4_NUC_High!K20-SPS4_NUC_High!K57</f>
        <v>804.48141842081463</v>
      </c>
    </row>
    <row r="14" spans="2:8" x14ac:dyDescent="0.35">
      <c r="B14" s="25" t="s">
        <v>1737</v>
      </c>
      <c r="C14" s="1">
        <f>SPS4_NUC_High!F2</f>
        <v>300.18602608171352</v>
      </c>
      <c r="D14" s="1">
        <f>SPS4_NUC_High!G2</f>
        <v>295.45268847847308</v>
      </c>
      <c r="E14" s="1">
        <f>SPS4_NUC_High!H2</f>
        <v>329.78473221508278</v>
      </c>
      <c r="F14" s="1">
        <f>SPS4_NUC_High!I2</f>
        <v>369.92535541919341</v>
      </c>
      <c r="G14" s="1">
        <f>SPS4_NUC_High!J2</f>
        <v>372.61283998688032</v>
      </c>
      <c r="H14" s="1">
        <f>SPS4_NUC_High!K2</f>
        <v>383.81670131302513</v>
      </c>
    </row>
    <row r="15" spans="2:8" x14ac:dyDescent="0.35">
      <c r="B15" s="25" t="s">
        <v>19</v>
      </c>
      <c r="C15" s="1">
        <f>SPS4_NUC_High!F20</f>
        <v>779.29670168180587</v>
      </c>
      <c r="D15" s="1">
        <f>SPS4_NUC_High!G20</f>
        <v>700.84943638959157</v>
      </c>
      <c r="E15" s="1">
        <f>SPS4_NUC_High!H20</f>
        <v>657.91151382754924</v>
      </c>
      <c r="F15" s="1">
        <f>SPS4_NUC_High!I20</f>
        <v>553.0312341315248</v>
      </c>
      <c r="G15" s="1">
        <f>SPS4_NUC_High!J20</f>
        <v>487.32398706596496</v>
      </c>
      <c r="H15" s="1">
        <f>SPS4_NUC_High!K20</f>
        <v>441.12990808269706</v>
      </c>
    </row>
    <row r="16" spans="2:8" x14ac:dyDescent="0.35">
      <c r="B16" s="25" t="s">
        <v>24</v>
      </c>
      <c r="C16" s="1">
        <f>SPS4_NUC_High!F57</f>
        <v>117.17000544975915</v>
      </c>
      <c r="D16" s="1">
        <f>SPS4_NUC_High!G57</f>
        <v>35.622833874229897</v>
      </c>
      <c r="E16" s="1">
        <f>SPS4_NUC_High!H57</f>
        <v>74.625427784999971</v>
      </c>
      <c r="F16" s="1">
        <f>SPS4_NUC_High!I57</f>
        <v>58.784829070887952</v>
      </c>
      <c r="G16" s="1">
        <f>SPS4_NUC_High!J57</f>
        <v>41.325853598802297</v>
      </c>
      <c r="H16" s="1">
        <f>SPS4_NUC_High!K57</f>
        <v>20.465190974907461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CC0710F4-F607-4AD7-B817-26F62171C1C2}"/>
</file>

<file path=customXml/itemProps2.xml><?xml version="1.0" encoding="utf-8"?>
<ds:datastoreItem xmlns:ds="http://schemas.openxmlformats.org/officeDocument/2006/customXml" ds:itemID="{F589B6A7-7D3D-45C4-B229-815368D3AAC9}"/>
</file>

<file path=customXml/itemProps3.xml><?xml version="1.0" encoding="utf-8"?>
<ds:datastoreItem xmlns:ds="http://schemas.openxmlformats.org/officeDocument/2006/customXml" ds:itemID="{BCE33474-0258-4A26-A861-F294E5C1761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SPS4_NUC_High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